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19440" windowHeight="12645"/>
  </bookViews>
  <sheets>
    <sheet name="TEP Dönüşümü Tablosu" sheetId="1" r:id="rId1"/>
    <sheet name="Sıcak Su Hesabı" sheetId="7" r:id="rId2"/>
    <sheet name="Buhar Hesabı" sheetId="8" r:id="rId3"/>
    <sheet name="Sıcaklık" sheetId="3" r:id="rId4"/>
    <sheet name="Basınç" sheetId="4" r:id="rId5"/>
    <sheet name="Güç" sheetId="5" r:id="rId6"/>
    <sheet name="Enerji" sheetId="6"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L28" i="1" l="1"/>
  <c r="AC6" i="1"/>
  <c r="N8" i="8" l="1"/>
  <c r="Q8" i="8" s="1"/>
  <c r="P8" i="7"/>
  <c r="N8" i="7"/>
  <c r="BL18" i="1" l="1"/>
  <c r="BL27" i="1"/>
  <c r="BL26" i="1"/>
  <c r="BL25" i="1"/>
  <c r="BL24" i="1"/>
  <c r="BL23" i="1"/>
  <c r="BL22" i="1" s="1"/>
  <c r="BL21" i="1"/>
  <c r="BL20" i="1"/>
  <c r="BL19" i="1"/>
  <c r="BL17" i="1"/>
  <c r="BL16" i="1"/>
  <c r="BL14" i="1"/>
  <c r="BL13" i="1"/>
  <c r="BL12" i="1"/>
  <c r="BL11" i="1"/>
  <c r="BL10" i="1"/>
  <c r="BL9" i="1"/>
  <c r="BL8" i="1"/>
  <c r="BL7" i="1"/>
  <c r="BL6" i="1"/>
  <c r="BL5" i="1" l="1"/>
  <c r="BL15" i="1"/>
  <c r="M18" i="6"/>
  <c r="K18" i="6"/>
  <c r="I18" i="6"/>
  <c r="G18" i="6"/>
  <c r="E18" i="6"/>
  <c r="O16" i="6"/>
  <c r="K16" i="6"/>
  <c r="I16" i="6"/>
  <c r="G16" i="6"/>
  <c r="E16" i="6"/>
  <c r="O14" i="6"/>
  <c r="M14" i="6"/>
  <c r="I14" i="6"/>
  <c r="G14" i="6"/>
  <c r="E14" i="6"/>
  <c r="O12" i="6"/>
  <c r="M12" i="6"/>
  <c r="K12" i="6"/>
  <c r="G12" i="6"/>
  <c r="E12" i="6"/>
  <c r="O10" i="6"/>
  <c r="M10" i="6"/>
  <c r="K10" i="6"/>
  <c r="I10" i="6"/>
  <c r="E10" i="6"/>
  <c r="O8" i="6"/>
  <c r="M8" i="6"/>
  <c r="K8" i="6"/>
  <c r="I8" i="6"/>
  <c r="G8" i="6"/>
  <c r="I15" i="5"/>
  <c r="G15" i="5"/>
  <c r="E15" i="5"/>
  <c r="K13" i="5"/>
  <c r="G13" i="5"/>
  <c r="E13" i="5"/>
  <c r="K11" i="5"/>
  <c r="I11" i="5"/>
  <c r="E11" i="5"/>
  <c r="K9" i="5"/>
  <c r="I9" i="5"/>
  <c r="G9" i="5"/>
  <c r="I15" i="4"/>
  <c r="G15" i="4"/>
  <c r="E15" i="4"/>
  <c r="K13" i="4"/>
  <c r="G13" i="4"/>
  <c r="E13" i="4"/>
  <c r="K11" i="4"/>
  <c r="I11" i="4"/>
  <c r="E11" i="4"/>
  <c r="K9" i="4"/>
  <c r="I9" i="4"/>
  <c r="G9" i="4"/>
  <c r="H13" i="3"/>
  <c r="F13" i="3"/>
  <c r="J11" i="3"/>
  <c r="F11" i="3"/>
  <c r="J9" i="3"/>
  <c r="H9" i="3"/>
  <c r="AC27" i="1" l="1"/>
  <c r="AC40" i="1"/>
  <c r="AC39" i="1"/>
  <c r="AC38" i="1"/>
  <c r="AC37" i="1"/>
  <c r="AC36" i="1"/>
  <c r="AC35" i="1"/>
  <c r="AC34" i="1"/>
  <c r="AC33" i="1"/>
  <c r="AC32" i="1"/>
  <c r="AC31" i="1"/>
  <c r="AC30" i="1"/>
  <c r="AC29" i="1"/>
  <c r="AC28" i="1"/>
  <c r="AC25" i="1"/>
  <c r="AC24" i="1"/>
  <c r="AC23" i="1"/>
  <c r="AC20" i="1"/>
  <c r="AC21" i="1"/>
  <c r="AC22" i="1"/>
  <c r="AC8" i="1"/>
  <c r="AC9" i="1"/>
  <c r="AC10" i="1"/>
  <c r="AC11" i="1"/>
  <c r="AC12" i="1"/>
  <c r="AC13" i="1"/>
  <c r="AC14" i="1"/>
  <c r="AC15" i="1"/>
  <c r="AC16" i="1"/>
  <c r="AC17" i="1"/>
  <c r="AC18" i="1"/>
  <c r="AC19" i="1"/>
  <c r="AC7" i="1"/>
  <c r="AC5" i="1" l="1"/>
  <c r="AC26" i="1"/>
</calcChain>
</file>

<file path=xl/comments1.xml><?xml version="1.0" encoding="utf-8"?>
<comments xmlns="http://schemas.openxmlformats.org/spreadsheetml/2006/main">
  <authors>
    <author>Yazar</author>
  </authors>
  <commentList>
    <comment ref="AP6" authorId="0">
      <text>
        <r>
          <rPr>
            <b/>
            <sz val="9"/>
            <color indexed="81"/>
            <rFont val="Tahoma"/>
            <family val="2"/>
            <charset val="162"/>
          </rPr>
          <t>15 ͦC ve 1 atm Basınç altında</t>
        </r>
      </text>
    </comment>
    <comment ref="AS6" authorId="0">
      <text>
        <r>
          <rPr>
            <b/>
            <sz val="9"/>
            <color indexed="81"/>
            <rFont val="Tahoma"/>
            <family val="2"/>
            <charset val="162"/>
          </rPr>
          <t xml:space="preserve">1 m3 Doğalgaz = 10,64 kWh </t>
        </r>
        <r>
          <rPr>
            <sz val="9"/>
            <color indexed="81"/>
            <rFont val="Tahoma"/>
            <family val="2"/>
            <charset val="162"/>
          </rPr>
          <t xml:space="preserve">
Faturada kWh olarak verilmişse dönüşüm için yukarıdaki eşitlikten faydalanınız.</t>
        </r>
      </text>
    </comment>
    <comment ref="AP7" authorId="0">
      <text>
        <r>
          <rPr>
            <b/>
            <sz val="9"/>
            <color indexed="81"/>
            <rFont val="Tahoma"/>
            <family val="2"/>
            <charset val="162"/>
          </rPr>
          <t>15 ͦC ve 1 atm Basınç altında</t>
        </r>
        <r>
          <rPr>
            <sz val="9"/>
            <color indexed="81"/>
            <rFont val="Tahoma"/>
            <family val="2"/>
            <charset val="162"/>
          </rPr>
          <t xml:space="preserve">
</t>
        </r>
      </text>
    </comment>
    <comment ref="AP8" authorId="0">
      <text>
        <r>
          <rPr>
            <b/>
            <sz val="9"/>
            <color indexed="81"/>
            <rFont val="Tahoma"/>
            <family val="2"/>
            <charset val="162"/>
          </rPr>
          <t>15 ͦC ve 1 atm Basınç altında</t>
        </r>
        <r>
          <rPr>
            <sz val="9"/>
            <color indexed="81"/>
            <rFont val="Tahoma"/>
            <family val="2"/>
            <charset val="162"/>
          </rPr>
          <t xml:space="preserve">
</t>
        </r>
      </text>
    </comment>
    <comment ref="AP9" authorId="0">
      <text>
        <r>
          <rPr>
            <b/>
            <sz val="9"/>
            <color indexed="81"/>
            <rFont val="Tahoma"/>
            <family val="2"/>
            <charset val="162"/>
          </rPr>
          <t>15 ͦC ve 1 atm Basınç altında</t>
        </r>
        <r>
          <rPr>
            <sz val="9"/>
            <color indexed="81"/>
            <rFont val="Tahoma"/>
            <family val="2"/>
            <charset val="162"/>
          </rPr>
          <t xml:space="preserve">
</t>
        </r>
      </text>
    </comment>
    <comment ref="AP10" authorId="0">
      <text>
        <r>
          <rPr>
            <b/>
            <sz val="9"/>
            <color indexed="81"/>
            <rFont val="Tahoma"/>
            <family val="2"/>
            <charset val="162"/>
          </rPr>
          <t>15 ͦC ve 1 atm Basınç altında</t>
        </r>
        <r>
          <rPr>
            <sz val="9"/>
            <color indexed="81"/>
            <rFont val="Tahoma"/>
            <family val="2"/>
            <charset val="162"/>
          </rPr>
          <t xml:space="preserve">
</t>
        </r>
      </text>
    </comment>
    <comment ref="AP11" authorId="0">
      <text>
        <r>
          <rPr>
            <b/>
            <sz val="9"/>
            <color indexed="81"/>
            <rFont val="Tahoma"/>
            <family val="2"/>
            <charset val="162"/>
          </rPr>
          <t>15 ͦC ve 1 atm Basınç altında</t>
        </r>
        <r>
          <rPr>
            <sz val="9"/>
            <color indexed="81"/>
            <rFont val="Tahoma"/>
            <family val="2"/>
            <charset val="162"/>
          </rPr>
          <t xml:space="preserve">
</t>
        </r>
      </text>
    </comment>
    <comment ref="AP12" authorId="0">
      <text>
        <r>
          <rPr>
            <b/>
            <sz val="9"/>
            <color indexed="81"/>
            <rFont val="Tahoma"/>
            <family val="2"/>
            <charset val="162"/>
          </rPr>
          <t>15 ͦC ve 1 atm Basınç altında</t>
        </r>
        <r>
          <rPr>
            <sz val="9"/>
            <color indexed="81"/>
            <rFont val="Tahoma"/>
            <family val="2"/>
            <charset val="162"/>
          </rPr>
          <t xml:space="preserve">
</t>
        </r>
      </text>
    </comment>
    <comment ref="AP13" authorId="0">
      <text>
        <r>
          <rPr>
            <b/>
            <sz val="9"/>
            <color indexed="81"/>
            <rFont val="Tahoma"/>
            <family val="2"/>
            <charset val="162"/>
          </rPr>
          <t>15 ͦC ve 1 atm Basınç altında</t>
        </r>
        <r>
          <rPr>
            <sz val="9"/>
            <color indexed="81"/>
            <rFont val="Tahoma"/>
            <family val="2"/>
            <charset val="162"/>
          </rPr>
          <t xml:space="preserve">
</t>
        </r>
      </text>
    </comment>
    <comment ref="AP14" authorId="0">
      <text>
        <r>
          <rPr>
            <b/>
            <sz val="9"/>
            <color indexed="81"/>
            <rFont val="Tahoma"/>
            <family val="2"/>
            <charset val="162"/>
          </rPr>
          <t>15 ͦC ve 1 atm Basınç altında</t>
        </r>
        <r>
          <rPr>
            <sz val="9"/>
            <color indexed="81"/>
            <rFont val="Tahoma"/>
            <family val="2"/>
            <charset val="162"/>
          </rPr>
          <t xml:space="preserve">
</t>
        </r>
      </text>
    </comment>
    <comment ref="AS18" authorId="0">
      <text>
        <r>
          <rPr>
            <b/>
            <sz val="8"/>
            <color indexed="81"/>
            <rFont val="Tahoma"/>
            <family val="2"/>
            <charset val="162"/>
          </rPr>
          <t>Satın Alınan Atık Isıdan Elektrik Üretimi Varsa dikkate alınacaktır.</t>
        </r>
        <r>
          <rPr>
            <sz val="9"/>
            <color indexed="81"/>
            <rFont val="Tahoma"/>
            <family val="2"/>
            <charset val="162"/>
          </rPr>
          <t xml:space="preserve">
</t>
        </r>
      </text>
    </comment>
    <comment ref="AS25" authorId="0">
      <text>
        <r>
          <rPr>
            <b/>
            <sz val="8"/>
            <color indexed="81"/>
            <rFont val="Tahoma"/>
            <family val="2"/>
            <charset val="162"/>
          </rPr>
          <t>Satın Alınan Atık Isı varsa dikkate alınacaktır.</t>
        </r>
      </text>
    </comment>
    <comment ref="AS26" authorId="0">
      <text>
        <r>
          <rPr>
            <b/>
            <sz val="7"/>
            <color indexed="81"/>
            <rFont val="Tahoma"/>
            <family val="2"/>
            <charset val="162"/>
          </rPr>
          <t>Kalori olarak tüketilen miktar bilinmiyorsa Sıcak Su Hesabı Sekmesini Kullanınız</t>
        </r>
        <r>
          <rPr>
            <sz val="9"/>
            <color indexed="81"/>
            <rFont val="Tahoma"/>
            <family val="2"/>
            <charset val="162"/>
          </rPr>
          <t xml:space="preserve">
</t>
        </r>
      </text>
    </comment>
    <comment ref="AS27" authorId="0">
      <text>
        <r>
          <rPr>
            <b/>
            <sz val="8"/>
            <color indexed="81"/>
            <rFont val="Tahoma"/>
            <family val="2"/>
            <charset val="162"/>
          </rPr>
          <t>Kalori olarak tüketilen miktar bilinmiyorsa Buhar Hesabı Sekmesini Kullanınız</t>
        </r>
        <r>
          <rPr>
            <sz val="9"/>
            <color indexed="81"/>
            <rFont val="Tahoma"/>
            <family val="2"/>
            <charset val="162"/>
          </rPr>
          <t xml:space="preserve">
</t>
        </r>
      </text>
    </comment>
  </commentList>
</comments>
</file>

<file path=xl/comments2.xml><?xml version="1.0" encoding="utf-8"?>
<comments xmlns="http://schemas.openxmlformats.org/spreadsheetml/2006/main">
  <authors>
    <author>Yazar</author>
  </authors>
  <commentList>
    <comment ref="J7" authorId="0">
      <text>
        <r>
          <rPr>
            <b/>
            <sz val="9"/>
            <color indexed="81"/>
            <rFont val="Tahoma"/>
            <family val="2"/>
            <charset val="162"/>
          </rPr>
          <t>Prosese giren suyun sıcaklığı her zaman çıkış suyu sıcaklığından büyük olmalıdır.</t>
        </r>
        <r>
          <rPr>
            <sz val="9"/>
            <color indexed="81"/>
            <rFont val="Tahoma"/>
            <family val="2"/>
            <charset val="162"/>
          </rPr>
          <t xml:space="preserve">
</t>
        </r>
      </text>
    </comment>
  </commentList>
</comments>
</file>

<file path=xl/comments3.xml><?xml version="1.0" encoding="utf-8"?>
<comments xmlns="http://schemas.openxmlformats.org/spreadsheetml/2006/main">
  <authors>
    <author>Yazar</author>
  </authors>
  <commentList>
    <comment ref="J7" authorId="0">
      <text>
        <r>
          <rPr>
            <b/>
            <sz val="9"/>
            <color indexed="81"/>
            <rFont val="Tahoma"/>
            <family val="2"/>
            <charset val="162"/>
          </rPr>
          <t>P mutlak = P manometre + P atm
1 atm = 101,325 kPa
1 bar = 0,01 kPa</t>
        </r>
        <r>
          <rPr>
            <sz val="9"/>
            <color indexed="81"/>
            <rFont val="Tahoma"/>
            <family val="2"/>
            <charset val="162"/>
          </rPr>
          <t xml:space="preserve">
</t>
        </r>
      </text>
    </comment>
  </commentList>
</comments>
</file>

<file path=xl/sharedStrings.xml><?xml version="1.0" encoding="utf-8"?>
<sst xmlns="http://schemas.openxmlformats.org/spreadsheetml/2006/main" count="257" uniqueCount="131">
  <si>
    <t>Tüketilen Yakıtın
 Miktarını Giriniz</t>
  </si>
  <si>
    <t>Orijinal 
Birimi</t>
  </si>
  <si>
    <t>Tüketilen Yakıt</t>
  </si>
  <si>
    <t>Yakıtın 
Yoğunluğu</t>
  </si>
  <si>
    <t>TEP 
Olarak Tüketim</t>
  </si>
  <si>
    <t>Ton</t>
  </si>
  <si>
    <t>Taş Kömürü</t>
  </si>
  <si>
    <t>Antrasit</t>
  </si>
  <si>
    <t>Kok Kömürü</t>
  </si>
  <si>
    <t>Briket</t>
  </si>
  <si>
    <t>Linyit (Elbistan)</t>
  </si>
  <si>
    <t>Linyit (Santral)</t>
  </si>
  <si>
    <t>Linyit (Teshin &amp; Sanayi)</t>
  </si>
  <si>
    <t>Petrokok</t>
  </si>
  <si>
    <t>Prina</t>
  </si>
  <si>
    <t>Talaş</t>
  </si>
  <si>
    <t>Kabuk</t>
  </si>
  <si>
    <t>Grafit</t>
  </si>
  <si>
    <t>Kok Tozu</t>
  </si>
  <si>
    <t>Maden</t>
  </si>
  <si>
    <t>Asfaltit</t>
  </si>
  <si>
    <t>Odun</t>
  </si>
  <si>
    <t>Hayvan &amp; Bitki Artığı</t>
  </si>
  <si>
    <t>-</t>
  </si>
  <si>
    <t>ARA TOPLAM</t>
  </si>
  <si>
    <t>Turba</t>
  </si>
  <si>
    <t>Pelet</t>
  </si>
  <si>
    <t>Odun Kömürü</t>
  </si>
  <si>
    <t>Çevrim 
Faktörü</t>
  </si>
  <si>
    <t>Ham Petrol</t>
  </si>
  <si>
    <t>1,000 kg/lt</t>
  </si>
  <si>
    <t>Fuel Oil No:4</t>
  </si>
  <si>
    <t>Fuel Oil No:5</t>
  </si>
  <si>
    <t>Fuel Oil No:6</t>
  </si>
  <si>
    <t>0,900 kg/lt</t>
  </si>
  <si>
    <t>0,920 kg/lt</t>
  </si>
  <si>
    <t>0,940 kg/lt</t>
  </si>
  <si>
    <t>Motorin</t>
  </si>
  <si>
    <t>0,830 kg/lt</t>
  </si>
  <si>
    <t>Benzin</t>
  </si>
  <si>
    <t>Gazyağı</t>
  </si>
  <si>
    <t>Siyah Likör</t>
  </si>
  <si>
    <t>Nafta</t>
  </si>
  <si>
    <t>Kerosen</t>
  </si>
  <si>
    <t>Sıvılaştırılmış Doğal Gaz (LNG)</t>
  </si>
  <si>
    <t>Katran</t>
  </si>
  <si>
    <t>Parafin</t>
  </si>
  <si>
    <t>0,735 kg/lt</t>
  </si>
  <si>
    <t>0,780 kg/lt</t>
  </si>
  <si>
    <t>0,802 kg/lt</t>
  </si>
  <si>
    <r>
      <t>m</t>
    </r>
    <r>
      <rPr>
        <sz val="10"/>
        <color theme="1"/>
        <rFont val="Calibri"/>
        <family val="2"/>
        <charset val="162"/>
      </rPr>
      <t>³</t>
    </r>
  </si>
  <si>
    <r>
      <t>0,670 kg/m</t>
    </r>
    <r>
      <rPr>
        <b/>
        <sz val="8"/>
        <color theme="1"/>
        <rFont val="Calibri"/>
        <family val="2"/>
        <charset val="162"/>
      </rPr>
      <t>³</t>
    </r>
  </si>
  <si>
    <t>m³</t>
  </si>
  <si>
    <t>Kok Gazı</t>
  </si>
  <si>
    <r>
      <t>0,490 kg/m</t>
    </r>
    <r>
      <rPr>
        <b/>
        <sz val="8"/>
        <color theme="1"/>
        <rFont val="Calibri"/>
        <family val="2"/>
        <charset val="162"/>
      </rPr>
      <t>³</t>
    </r>
  </si>
  <si>
    <t>Yüksek Fırın Gazı</t>
  </si>
  <si>
    <t>1,290 kg/m³</t>
  </si>
  <si>
    <t>Çelikhane Gazı</t>
  </si>
  <si>
    <r>
      <t>1,250 kg/m</t>
    </r>
    <r>
      <rPr>
        <b/>
        <sz val="8"/>
        <color theme="1"/>
        <rFont val="Calibri"/>
        <family val="2"/>
        <charset val="162"/>
      </rPr>
      <t>³</t>
    </r>
  </si>
  <si>
    <t>Rafineri Gazı</t>
  </si>
  <si>
    <r>
      <t>1,110 kg/m</t>
    </r>
    <r>
      <rPr>
        <b/>
        <sz val="8"/>
        <color theme="1"/>
        <rFont val="Calibri"/>
        <family val="2"/>
        <charset val="162"/>
      </rPr>
      <t>³</t>
    </r>
  </si>
  <si>
    <t>Asetilen</t>
  </si>
  <si>
    <t>Propan</t>
  </si>
  <si>
    <t>LPG</t>
  </si>
  <si>
    <r>
      <t>1,090 kg/m</t>
    </r>
    <r>
      <rPr>
        <b/>
        <sz val="8"/>
        <color theme="1"/>
        <rFont val="Calibri"/>
        <family val="2"/>
        <charset val="162"/>
      </rPr>
      <t>³</t>
    </r>
  </si>
  <si>
    <r>
      <t>1,882 kg/m</t>
    </r>
    <r>
      <rPr>
        <b/>
        <sz val="8"/>
        <color theme="1"/>
        <rFont val="Calibri"/>
        <family val="2"/>
        <charset val="162"/>
      </rPr>
      <t>³</t>
    </r>
  </si>
  <si>
    <t>Çöp Gazı</t>
  </si>
  <si>
    <r>
      <t>0,800 kg/m</t>
    </r>
    <r>
      <rPr>
        <b/>
        <sz val="8"/>
        <color theme="1"/>
        <rFont val="Calibri"/>
        <family val="2"/>
        <charset val="162"/>
      </rPr>
      <t>³</t>
    </r>
  </si>
  <si>
    <r>
      <t>2,229 kg/m</t>
    </r>
    <r>
      <rPr>
        <b/>
        <sz val="8"/>
        <color theme="1"/>
        <rFont val="Calibri"/>
        <family val="2"/>
        <charset val="162"/>
      </rPr>
      <t>³</t>
    </r>
  </si>
  <si>
    <t>Jeotermal</t>
  </si>
  <si>
    <t>Güneş</t>
  </si>
  <si>
    <t>Rüzgar</t>
  </si>
  <si>
    <t>Karma Elektrik</t>
  </si>
  <si>
    <t>Hidrolik</t>
  </si>
  <si>
    <t>kWh</t>
  </si>
  <si>
    <t>kcal</t>
  </si>
  <si>
    <t>Atık Isı</t>
  </si>
  <si>
    <t>A) Katı Yakıt Tüketimi</t>
  </si>
  <si>
    <t xml:space="preserve">D) Net Elektrik Tüketimi </t>
  </si>
  <si>
    <t>Sıcaklık</t>
  </si>
  <si>
    <t>Kelvin</t>
  </si>
  <si>
    <t>Celcius</t>
  </si>
  <si>
    <t>Fahrenheit</t>
  </si>
  <si>
    <t>Basınç</t>
  </si>
  <si>
    <t>atm</t>
  </si>
  <si>
    <t>bar</t>
  </si>
  <si>
    <t>Mpa</t>
  </si>
  <si>
    <t>PSI (lb/in)</t>
  </si>
  <si>
    <t>PSI
(lb/in)</t>
  </si>
  <si>
    <t>Güç</t>
  </si>
  <si>
    <t>watt</t>
  </si>
  <si>
    <t>kW</t>
  </si>
  <si>
    <t>HP</t>
  </si>
  <si>
    <t>BTU/h</t>
  </si>
  <si>
    <t>Enerji</t>
  </si>
  <si>
    <t>joule</t>
  </si>
  <si>
    <t>Wh</t>
  </si>
  <si>
    <t>calorie</t>
  </si>
  <si>
    <t>BTU</t>
  </si>
  <si>
    <t>TEP</t>
  </si>
  <si>
    <t>TOPLAM :</t>
  </si>
  <si>
    <t xml:space="preserve">Sıcak Su </t>
  </si>
  <si>
    <t xml:space="preserve">Buhar </t>
  </si>
  <si>
    <t xml:space="preserve">E) Net Isı Tüketimi </t>
  </si>
  <si>
    <t>Sıcak Su Tüketimi</t>
  </si>
  <si>
    <t>Isıl Enerji Kaynağı</t>
  </si>
  <si>
    <t>Sıcak Su</t>
  </si>
  <si>
    <t>Birimi</t>
  </si>
  <si>
    <t>kg/Yıl</t>
  </si>
  <si>
    <t>Tüketilen Miktar</t>
  </si>
  <si>
    <t>Tüketilen Isıl Enerji
[kWh/Yıl]</t>
  </si>
  <si>
    <t>Tüketilen Isıl Enerji
[kcal/Yıl]</t>
  </si>
  <si>
    <r>
      <t xml:space="preserve">Kullanım Noktasına Giriş Suyu Sıcaklığı
</t>
    </r>
    <r>
      <rPr>
        <b/>
        <sz val="12"/>
        <color theme="0"/>
        <rFont val="Calibri"/>
        <family val="2"/>
        <scheme val="minor"/>
      </rPr>
      <t>[</t>
    </r>
    <r>
      <rPr>
        <b/>
        <sz val="12"/>
        <color theme="0"/>
        <rFont val="Arial Tur"/>
        <charset val="162"/>
      </rPr>
      <t>ͦ</t>
    </r>
    <r>
      <rPr>
        <b/>
        <sz val="12"/>
        <color theme="0"/>
        <rFont val="Calibri"/>
        <family val="2"/>
      </rPr>
      <t xml:space="preserve"> </t>
    </r>
    <r>
      <rPr>
        <b/>
        <sz val="12"/>
        <color theme="0"/>
        <rFont val="Calibri"/>
        <family val="2"/>
        <scheme val="minor"/>
      </rPr>
      <t>C]</t>
    </r>
  </si>
  <si>
    <r>
      <t xml:space="preserve">Kullanım Noktasından 
Çıkış Suyu Sıcaklığı
</t>
    </r>
    <r>
      <rPr>
        <b/>
        <sz val="12"/>
        <color theme="0"/>
        <rFont val="Calibri"/>
        <family val="2"/>
        <scheme val="minor"/>
      </rPr>
      <t>[</t>
    </r>
    <r>
      <rPr>
        <b/>
        <sz val="12"/>
        <color theme="0"/>
        <rFont val="Arial Tur"/>
        <charset val="162"/>
      </rPr>
      <t>ͦ</t>
    </r>
    <r>
      <rPr>
        <b/>
        <sz val="12"/>
        <color theme="0"/>
        <rFont val="Calibri"/>
        <family val="2"/>
      </rPr>
      <t xml:space="preserve"> </t>
    </r>
    <r>
      <rPr>
        <b/>
        <sz val="12"/>
        <color theme="0"/>
        <rFont val="Calibri"/>
        <family val="2"/>
        <scheme val="minor"/>
      </rPr>
      <t>C]</t>
    </r>
  </si>
  <si>
    <r>
      <t xml:space="preserve">Not : </t>
    </r>
    <r>
      <rPr>
        <b/>
        <sz val="11"/>
        <rFont val="Calibri"/>
        <family val="2"/>
        <charset val="162"/>
        <scheme val="minor"/>
      </rPr>
      <t>Net Sıcak Su Tüketimi = Satın Alınan Sıcak Su + Yenilenebilir Enerji Kaynaklarından Üretilen Sıcak Su - Satılan Sıcak Su (Varsa)</t>
    </r>
  </si>
  <si>
    <t>Buhar Tüketimi</t>
  </si>
  <si>
    <t>Mutlak Buhar Basıncı
[Bar]</t>
  </si>
  <si>
    <r>
      <t xml:space="preserve">Buharın Sıcaklığı
[ </t>
    </r>
    <r>
      <rPr>
        <b/>
        <sz val="11"/>
        <color theme="0"/>
        <rFont val="Arial Tur"/>
        <charset val="162"/>
      </rPr>
      <t>ͦ</t>
    </r>
    <r>
      <rPr>
        <b/>
        <sz val="11"/>
        <color theme="0"/>
        <rFont val="Calibri"/>
        <family val="2"/>
        <charset val="162"/>
      </rPr>
      <t xml:space="preserve"> </t>
    </r>
    <r>
      <rPr>
        <b/>
        <sz val="11"/>
        <color theme="0"/>
        <rFont val="Calibri"/>
        <family val="2"/>
        <charset val="162"/>
        <scheme val="minor"/>
      </rPr>
      <t>C ]</t>
    </r>
  </si>
  <si>
    <t>Buhar</t>
  </si>
  <si>
    <r>
      <t xml:space="preserve">Not : </t>
    </r>
    <r>
      <rPr>
        <b/>
        <sz val="11"/>
        <rFont val="Calibri"/>
        <family val="2"/>
        <charset val="162"/>
        <scheme val="minor"/>
      </rPr>
      <t>Net Buhar Tüketimi = Satın Alınan Buharın Isıl Enerjisi + Yenilenebilir Enerji Kaynaklarından Üretilen Buharın Isıl Enerjisi - Satılan Buharın Isıl Enerjisi</t>
    </r>
    <r>
      <rPr>
        <b/>
        <sz val="11"/>
        <color rgb="FFFF0000"/>
        <rFont val="Calibri"/>
        <family val="2"/>
        <charset val="162"/>
        <scheme val="minor"/>
      </rPr>
      <t xml:space="preserve"> </t>
    </r>
    <r>
      <rPr>
        <b/>
        <sz val="11"/>
        <rFont val="Calibri"/>
        <family val="2"/>
        <charset val="162"/>
        <scheme val="minor"/>
      </rPr>
      <t>(Varsa)</t>
    </r>
  </si>
  <si>
    <t>B) Sıvı Yakıt Tüketimi *</t>
  </si>
  <si>
    <t xml:space="preserve">C) Gaz Yakıt Tüketimi </t>
  </si>
  <si>
    <t>* Litre olarak faturalandırılan yakıt miktarını ton olarak dönüştürmek için aşağıdaki örnek hesapta belirtildiği gibi verilen yoğunluk değerini kullanınız.</t>
  </si>
  <si>
    <t>Doğal Gaz</t>
  </si>
  <si>
    <t>Yakıtın 
Alt Isıl Değeri
(kcal/orj. birim)</t>
  </si>
  <si>
    <t>Aromatik Yağlar</t>
  </si>
  <si>
    <r>
      <rPr>
        <b/>
        <i/>
        <sz val="7.5"/>
        <color rgb="FFFF0000"/>
        <rFont val="Calibri"/>
        <family val="2"/>
        <charset val="162"/>
        <scheme val="minor"/>
      </rPr>
      <t>1)</t>
    </r>
    <r>
      <rPr>
        <b/>
        <i/>
        <sz val="7.5"/>
        <color theme="1"/>
        <rFont val="Calibri"/>
        <family val="2"/>
        <charset val="162"/>
        <scheme val="minor"/>
      </rPr>
      <t xml:space="preserve"> Birden fazla yakıt karıştırılarak yeni bir yakıt üretiliyor ise oluşacak yakıtın ısıl değeri hesaplanırken karıştırılan yakıtların miktarlarına göre ağırlıklı ortalaması alınacaktır.  Örneğin;</t>
    </r>
  </si>
  <si>
    <r>
      <rPr>
        <b/>
        <i/>
        <sz val="7.5"/>
        <color rgb="FFFF0000"/>
        <rFont val="Calibri"/>
        <family val="2"/>
        <charset val="162"/>
        <scheme val="minor"/>
      </rPr>
      <t xml:space="preserve">2) </t>
    </r>
    <r>
      <rPr>
        <b/>
        <i/>
        <sz val="7.5"/>
        <color theme="1"/>
        <rFont val="Calibri"/>
        <family val="2"/>
        <charset val="162"/>
        <scheme val="minor"/>
      </rPr>
      <t>Yukarıdaki tabloda yer almayan yakıtlar için uluslararası standardlara akredite kuruluşlarca yapılan kimyasal yakıt analiz raporlarına göre kcal/miktar birimi cinsinden alt ısıl kullanılarak TEP dönüşümü için ;  1 TEP = 10.000.000 kcal dönüşümü kullanılacaktır.</t>
    </r>
  </si>
  <si>
    <r>
      <rPr>
        <b/>
        <i/>
        <sz val="7.5"/>
        <color rgb="FFFF0000"/>
        <rFont val="Calibri"/>
        <family val="2"/>
        <charset val="162"/>
        <scheme val="minor"/>
      </rPr>
      <t xml:space="preserve">3) </t>
    </r>
    <r>
      <rPr>
        <b/>
        <i/>
        <sz val="7.5"/>
        <color theme="1"/>
        <rFont val="Calibri"/>
        <family val="2"/>
        <charset val="162"/>
        <scheme val="minor"/>
      </rPr>
      <t xml:space="preserve">Net Elektrik Tüketimi için ; Satın Alınan Elektrik + Yenilenebilir Enerji Kaynaklarından (Güneş, Rüzgar vs.) üretilen Elektrik  - Satılan Elektrik (Varsa) eşitliği kullanılacaktır. Elektrik Üretimi için yerinden üretim teknolojileri kullanılıyor ise (Kojenerasyon Tesisi gibi) mükerrerlikten arındırmak için bu denkleme dahil edilmeyecektir. Elektriğin üretilmesi için kullanılan yakıt ilgili alanda değerlendirilecektir. Benzer şekilde atık ısı (dışarıdan satın alınmadığı sürece) kullanımı da mükerrer tüketim bildirimine neden olacağından değerlendirmeye alınmayacaktır. </t>
    </r>
  </si>
  <si>
    <r>
      <rPr>
        <b/>
        <i/>
        <sz val="7.5"/>
        <color rgb="FFFF0000"/>
        <rFont val="Calibri"/>
        <family val="2"/>
        <charset val="162"/>
        <scheme val="minor"/>
      </rPr>
      <t>4)</t>
    </r>
    <r>
      <rPr>
        <b/>
        <i/>
        <sz val="7.5"/>
        <color theme="1"/>
        <rFont val="Calibri"/>
        <family val="2"/>
        <charset val="162"/>
        <scheme val="minor"/>
      </rPr>
      <t xml:space="preserve"> Bünyesinde 100 MW ve üzerinde kurulu güçle elektrik üretimi olan işletmeler için Elektrik Üretim Tesisi Formu ile ayrıca bildirim yapılması gerekecek olup işletme sınırları dışında olduğu kabulüyle bildirim yapılacaktır.</t>
    </r>
  </si>
  <si>
    <r>
      <rPr>
        <b/>
        <i/>
        <sz val="7.5"/>
        <color rgb="FFFF0000"/>
        <rFont val="Calibri"/>
        <family val="2"/>
        <charset val="162"/>
        <scheme val="minor"/>
      </rPr>
      <t xml:space="preserve">5) </t>
    </r>
    <r>
      <rPr>
        <b/>
        <i/>
        <sz val="7.5"/>
        <color theme="1"/>
        <rFont val="Calibri"/>
        <family val="2"/>
        <charset val="162"/>
        <scheme val="minor"/>
      </rPr>
      <t>Net Isı Tüketimi için benzer yaklaşımla; Satın Alınan Isıl Enerji (Atık Isı, Sıcak Su, Buhar) + Yenilenebilir Enerji Kaynaklarından Üretilen Isıl Enerji (Güneş, Jeotermal vs.) - Satılan Isıl Enerji (Sıcak Su, Buhar, Atık Isı vs.) (Varsa) eşitliği dikkate alınacaktır.</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</si>
</sst>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
    <numFmt numFmtId="165" formatCode="#,##0.0000"/>
    <numFmt numFmtId="166" formatCode="#,##0.00000"/>
    <numFmt numFmtId="167" formatCode="#,##0.000000"/>
    <numFmt numFmtId="168" formatCode="#,##0.0000000"/>
    <numFmt numFmtId="169" formatCode="#,##0.0000000000"/>
    <numFmt numFmtId="170" formatCode="#,##0.00000000"/>
  </numFmts>
  <fonts count="32">
    <font>
      <sz val="11"/>
      <color theme="1"/>
      <name val="Calibri"/>
      <family val="2"/>
      <scheme val="minor"/>
    </font>
    <font>
      <b/>
      <sz val="8"/>
      <color theme="1"/>
      <name val="Times New Roman"/>
      <family val="1"/>
      <charset val="162"/>
    </font>
    <font>
      <sz val="10"/>
      <color theme="1"/>
      <name val="Times New Roman"/>
      <family val="1"/>
      <charset val="162"/>
    </font>
    <font>
      <sz val="8"/>
      <color theme="1"/>
      <name val="Times New Roman"/>
      <family val="1"/>
      <charset val="162"/>
    </font>
    <font>
      <b/>
      <sz val="8"/>
      <color theme="0"/>
      <name val="Times New Roman"/>
      <family val="1"/>
      <charset val="162"/>
    </font>
    <font>
      <b/>
      <sz val="10"/>
      <color rgb="FFFF0000"/>
      <name val="Times New Roman"/>
      <family val="1"/>
      <charset val="162"/>
    </font>
    <font>
      <b/>
      <sz val="8"/>
      <name val="Times New Roman"/>
      <family val="1"/>
      <charset val="162"/>
    </font>
    <font>
      <sz val="10"/>
      <color theme="1"/>
      <name val="Calibri"/>
      <family val="2"/>
      <charset val="162"/>
    </font>
    <font>
      <sz val="9"/>
      <color indexed="81"/>
      <name val="Tahoma"/>
      <family val="2"/>
      <charset val="162"/>
    </font>
    <font>
      <b/>
      <sz val="9"/>
      <color indexed="81"/>
      <name val="Tahoma"/>
      <family val="2"/>
      <charset val="162"/>
    </font>
    <font>
      <b/>
      <sz val="8"/>
      <color theme="1"/>
      <name val="Calibri"/>
      <family val="2"/>
      <charset val="162"/>
    </font>
    <font>
      <b/>
      <sz val="11"/>
      <color theme="0"/>
      <name val="Lato"/>
      <charset val="162"/>
    </font>
    <font>
      <b/>
      <sz val="9"/>
      <color theme="0"/>
      <name val="Lato"/>
      <charset val="162"/>
    </font>
    <font>
      <b/>
      <sz val="10"/>
      <color theme="0" tint="-0.499984740745262"/>
      <name val="Lato"/>
      <charset val="162"/>
    </font>
    <font>
      <b/>
      <i/>
      <sz val="10"/>
      <color rgb="FFFF0000"/>
      <name val="Lato"/>
      <charset val="162"/>
    </font>
    <font>
      <b/>
      <sz val="11"/>
      <color theme="0"/>
      <name val="Times New Roman"/>
      <family val="1"/>
      <charset val="162"/>
    </font>
    <font>
      <b/>
      <i/>
      <sz val="8"/>
      <color theme="1"/>
      <name val="Calibri"/>
      <family val="2"/>
      <charset val="162"/>
      <scheme val="minor"/>
    </font>
    <font>
      <b/>
      <sz val="7"/>
      <color indexed="81"/>
      <name val="Tahoma"/>
      <family val="2"/>
      <charset val="162"/>
    </font>
    <font>
      <b/>
      <sz val="8"/>
      <color indexed="81"/>
      <name val="Tahoma"/>
      <family val="2"/>
      <charset val="162"/>
    </font>
    <font>
      <b/>
      <sz val="11"/>
      <color theme="0"/>
      <name val="Calibri"/>
      <family val="2"/>
      <charset val="162"/>
      <scheme val="minor"/>
    </font>
    <font>
      <b/>
      <sz val="14"/>
      <color theme="0"/>
      <name val="Calibri"/>
      <family val="2"/>
      <charset val="162"/>
      <scheme val="minor"/>
    </font>
    <font>
      <b/>
      <sz val="12"/>
      <color theme="0"/>
      <name val="Calibri"/>
      <family val="2"/>
      <scheme val="minor"/>
    </font>
    <font>
      <b/>
      <sz val="12"/>
      <color theme="0"/>
      <name val="Arial Tur"/>
      <charset val="162"/>
    </font>
    <font>
      <b/>
      <sz val="12"/>
      <color theme="0"/>
      <name val="Calibri"/>
      <family val="2"/>
    </font>
    <font>
      <sz val="11"/>
      <color rgb="FFFF0000"/>
      <name val="Calibri"/>
      <family val="2"/>
      <scheme val="minor"/>
    </font>
    <font>
      <b/>
      <sz val="11"/>
      <color rgb="FFFF0000"/>
      <name val="Calibri"/>
      <family val="2"/>
      <charset val="162"/>
      <scheme val="minor"/>
    </font>
    <font>
      <b/>
      <sz val="11"/>
      <name val="Calibri"/>
      <family val="2"/>
      <charset val="162"/>
      <scheme val="minor"/>
    </font>
    <font>
      <b/>
      <sz val="11"/>
      <color theme="0"/>
      <name val="Arial Tur"/>
      <charset val="162"/>
    </font>
    <font>
      <b/>
      <sz val="11"/>
      <color theme="0"/>
      <name val="Calibri"/>
      <family val="2"/>
      <charset val="162"/>
    </font>
    <font>
      <b/>
      <i/>
      <sz val="7.5"/>
      <color theme="1"/>
      <name val="Calibri"/>
      <family val="2"/>
      <charset val="162"/>
      <scheme val="minor"/>
    </font>
    <font>
      <sz val="7.5"/>
      <color theme="1"/>
      <name val="Calibri"/>
      <family val="2"/>
      <charset val="162"/>
      <scheme val="minor"/>
    </font>
    <font>
      <b/>
      <i/>
      <sz val="7.5"/>
      <color rgb="FFFF0000"/>
      <name val="Calibri"/>
      <family val="2"/>
      <charset val="162"/>
      <scheme val="minor"/>
    </font>
  </fonts>
  <fills count="14">
    <fill>
      <patternFill patternType="none"/>
    </fill>
    <fill>
      <patternFill patternType="gray125"/>
    </fill>
    <fill>
      <patternFill patternType="solid">
        <fgColor rgb="FF002060"/>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9"/>
        <bgColor indexed="64"/>
      </patternFill>
    </fill>
    <fill>
      <patternFill patternType="solid">
        <fgColor theme="8" tint="-0.249977111117893"/>
        <bgColor indexed="64"/>
      </patternFill>
    </fill>
    <fill>
      <patternFill patternType="solid">
        <fgColor theme="7"/>
        <bgColor indexed="64"/>
      </patternFill>
    </fill>
    <fill>
      <patternFill patternType="solid">
        <fgColor theme="0" tint="-0.14999847407452621"/>
        <bgColor indexed="64"/>
      </patternFill>
    </fill>
    <fill>
      <patternFill patternType="solid">
        <fgColor rgb="FFFF0000"/>
        <bgColor indexed="64"/>
      </patternFill>
    </fill>
    <fill>
      <patternFill patternType="solid">
        <fgColor theme="8" tint="-0.499984740745262"/>
        <bgColor indexed="64"/>
      </patternFill>
    </fill>
    <fill>
      <patternFill patternType="solid">
        <fgColor theme="0" tint="-0.249977111117893"/>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style="medium">
        <color theme="9"/>
      </left>
      <right/>
      <top style="medium">
        <color theme="9"/>
      </top>
      <bottom style="medium">
        <color theme="9"/>
      </bottom>
      <diagonal/>
    </border>
    <border>
      <left/>
      <right/>
      <top style="medium">
        <color theme="9"/>
      </top>
      <bottom style="medium">
        <color theme="9"/>
      </bottom>
      <diagonal/>
    </border>
    <border>
      <left/>
      <right style="medium">
        <color theme="9"/>
      </right>
      <top style="medium">
        <color theme="9"/>
      </top>
      <bottom style="medium">
        <color theme="9"/>
      </bottom>
      <diagonal/>
    </border>
    <border>
      <left/>
      <right/>
      <top style="thick">
        <color theme="9"/>
      </top>
      <bottom/>
      <diagonal/>
    </border>
    <border>
      <left/>
      <right/>
      <top/>
      <bottom style="thick">
        <color theme="9"/>
      </bottom>
      <diagonal/>
    </border>
    <border>
      <left style="thick">
        <color theme="9"/>
      </left>
      <right style="thick">
        <color theme="9"/>
      </right>
      <top style="thick">
        <color theme="9"/>
      </top>
      <bottom style="thick">
        <color theme="9"/>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1">
    <xf numFmtId="0" fontId="0" fillId="0" borderId="0"/>
  </cellStyleXfs>
  <cellXfs count="218">
    <xf numFmtId="0" fontId="0" fillId="0" borderId="0" xfId="0"/>
    <xf numFmtId="0" fontId="0" fillId="0" borderId="0" xfId="0" applyFill="1"/>
    <xf numFmtId="0" fontId="0" fillId="0" borderId="31" xfId="0" applyFill="1" applyBorder="1"/>
    <xf numFmtId="0" fontId="0" fillId="0" borderId="32" xfId="0" applyFill="1" applyBorder="1"/>
    <xf numFmtId="0" fontId="0" fillId="0" borderId="29" xfId="0" applyFill="1" applyBorder="1"/>
    <xf numFmtId="0" fontId="14" fillId="0" borderId="0" xfId="0" applyFont="1" applyFill="1"/>
    <xf numFmtId="0" fontId="0" fillId="0" borderId="29" xfId="0" applyBorder="1"/>
    <xf numFmtId="0" fontId="0" fillId="0" borderId="0" xfId="0" applyAlignment="1">
      <alignment vertical="top" wrapText="1"/>
    </xf>
    <xf numFmtId="0" fontId="16" fillId="0" borderId="0" xfId="0" applyFont="1" applyAlignment="1">
      <alignment vertical="top" wrapText="1"/>
    </xf>
    <xf numFmtId="0" fontId="0" fillId="0" borderId="37" xfId="0" applyBorder="1"/>
    <xf numFmtId="0" fontId="0" fillId="0" borderId="38" xfId="0" applyBorder="1"/>
    <xf numFmtId="0" fontId="25" fillId="0" borderId="0" xfId="0" applyFont="1"/>
    <xf numFmtId="0" fontId="29" fillId="0" borderId="0" xfId="0" applyFont="1" applyAlignment="1">
      <alignment horizontal="justify" vertical="top" wrapText="1"/>
    </xf>
    <xf numFmtId="0" fontId="29" fillId="0" borderId="0" xfId="0" applyFont="1" applyBorder="1" applyAlignment="1">
      <alignment horizontal="justify" vertical="top" wrapText="1"/>
    </xf>
    <xf numFmtId="0" fontId="30" fillId="0" borderId="0" xfId="0" applyFont="1" applyAlignment="1">
      <alignment horizontal="justify" vertical="top" wrapText="1"/>
    </xf>
    <xf numFmtId="4" fontId="3" fillId="4" borderId="47" xfId="0" applyNumberFormat="1" applyFont="1" applyFill="1" applyBorder="1" applyAlignment="1" applyProtection="1">
      <alignment horizontal="right" vertical="center"/>
      <protection locked="0"/>
    </xf>
    <xf numFmtId="4" fontId="3" fillId="4" borderId="27" xfId="0" applyNumberFormat="1" applyFont="1" applyFill="1" applyBorder="1" applyAlignment="1" applyProtection="1">
      <alignment horizontal="right" vertical="center"/>
      <protection locked="0"/>
    </xf>
    <xf numFmtId="4" fontId="3" fillId="4" borderId="46" xfId="0" applyNumberFormat="1" applyFont="1" applyFill="1" applyBorder="1" applyAlignment="1" applyProtection="1">
      <alignment horizontal="right" vertical="center"/>
      <protection locked="0"/>
    </xf>
    <xf numFmtId="0" fontId="2" fillId="5" borderId="47" xfId="0" applyFont="1" applyFill="1" applyBorder="1" applyAlignment="1">
      <alignment horizontal="center" vertical="center"/>
    </xf>
    <xf numFmtId="0" fontId="2" fillId="5" borderId="27" xfId="0" applyFont="1" applyFill="1" applyBorder="1" applyAlignment="1">
      <alignment horizontal="center" vertical="center"/>
    </xf>
    <xf numFmtId="0" fontId="2" fillId="5" borderId="25" xfId="0" applyFont="1" applyFill="1" applyBorder="1" applyAlignment="1">
      <alignment horizontal="center" vertical="center"/>
    </xf>
    <xf numFmtId="0" fontId="2" fillId="5" borderId="21" xfId="0" applyFont="1" applyFill="1" applyBorder="1" applyAlignment="1">
      <alignment horizontal="center" vertical="center"/>
    </xf>
    <xf numFmtId="167" fontId="1" fillId="5" borderId="21" xfId="0" applyNumberFormat="1" applyFont="1" applyFill="1" applyBorder="1" applyAlignment="1">
      <alignment horizontal="center" vertical="center"/>
    </xf>
    <xf numFmtId="167" fontId="1" fillId="5" borderId="27" xfId="0" applyNumberFormat="1" applyFont="1" applyFill="1" applyBorder="1" applyAlignment="1">
      <alignment horizontal="center" vertical="center"/>
    </xf>
    <xf numFmtId="167" fontId="1" fillId="5" borderId="25" xfId="0" applyNumberFormat="1" applyFont="1" applyFill="1" applyBorder="1" applyAlignment="1">
      <alignment horizontal="center" vertical="center"/>
    </xf>
    <xf numFmtId="164" fontId="5" fillId="5" borderId="21" xfId="0" applyNumberFormat="1" applyFont="1" applyFill="1" applyBorder="1" applyAlignment="1">
      <alignment horizontal="right" vertical="center"/>
    </xf>
    <xf numFmtId="164" fontId="5" fillId="5" borderId="27" xfId="0" applyNumberFormat="1" applyFont="1" applyFill="1" applyBorder="1" applyAlignment="1">
      <alignment horizontal="right" vertical="center"/>
    </xf>
    <xf numFmtId="164" fontId="5" fillId="5" borderId="46" xfId="0" applyNumberFormat="1" applyFont="1" applyFill="1" applyBorder="1" applyAlignment="1">
      <alignment horizontal="right" vertical="center"/>
    </xf>
    <xf numFmtId="0" fontId="15" fillId="2" borderId="1" xfId="0" applyFont="1" applyFill="1" applyBorder="1" applyAlignment="1">
      <alignment horizontal="right" vertical="center"/>
    </xf>
    <xf numFmtId="0" fontId="15" fillId="2" borderId="2" xfId="0" applyFont="1" applyFill="1" applyBorder="1" applyAlignment="1">
      <alignment horizontal="right" vertical="center"/>
    </xf>
    <xf numFmtId="0" fontId="15" fillId="2" borderId="3" xfId="0" applyFont="1" applyFill="1" applyBorder="1" applyAlignment="1">
      <alignment horizontal="right" vertical="center"/>
    </xf>
    <xf numFmtId="0" fontId="15" fillId="2" borderId="4" xfId="0" applyFont="1" applyFill="1" applyBorder="1" applyAlignment="1">
      <alignment horizontal="right" vertical="center"/>
    </xf>
    <xf numFmtId="0" fontId="15" fillId="2" borderId="5" xfId="0" applyFont="1" applyFill="1" applyBorder="1" applyAlignment="1">
      <alignment horizontal="right" vertical="center"/>
    </xf>
    <xf numFmtId="0" fontId="15" fillId="2" borderId="6" xfId="0" applyFont="1" applyFill="1" applyBorder="1" applyAlignment="1">
      <alignment horizontal="right" vertical="center"/>
    </xf>
    <xf numFmtId="164" fontId="15" fillId="11" borderId="1" xfId="0" applyNumberFormat="1" applyFont="1" applyFill="1" applyBorder="1" applyAlignment="1">
      <alignment horizontal="right" vertical="center"/>
    </xf>
    <xf numFmtId="164" fontId="15" fillId="11" borderId="2" xfId="0" applyNumberFormat="1" applyFont="1" applyFill="1" applyBorder="1" applyAlignment="1">
      <alignment horizontal="right" vertical="center"/>
    </xf>
    <xf numFmtId="164" fontId="15" fillId="11" borderId="3" xfId="0" applyNumberFormat="1" applyFont="1" applyFill="1" applyBorder="1" applyAlignment="1">
      <alignment horizontal="right" vertical="center"/>
    </xf>
    <xf numFmtId="164" fontId="15" fillId="11" borderId="4" xfId="0" applyNumberFormat="1" applyFont="1" applyFill="1" applyBorder="1" applyAlignment="1">
      <alignment horizontal="right" vertical="center"/>
    </xf>
    <xf numFmtId="164" fontId="15" fillId="11" borderId="5" xfId="0" applyNumberFormat="1" applyFont="1" applyFill="1" applyBorder="1" applyAlignment="1">
      <alignment horizontal="right" vertical="center"/>
    </xf>
    <xf numFmtId="164" fontId="15" fillId="11" borderId="6" xfId="0" applyNumberFormat="1" applyFont="1" applyFill="1" applyBorder="1" applyAlignment="1">
      <alignment horizontal="right" vertical="center"/>
    </xf>
    <xf numFmtId="168" fontId="1" fillId="5" borderId="21" xfId="0" applyNumberFormat="1" applyFont="1" applyFill="1" applyBorder="1" applyAlignment="1">
      <alignment horizontal="center" vertical="center"/>
    </xf>
    <xf numFmtId="168" fontId="1" fillId="5" borderId="27" xfId="0" applyNumberFormat="1" applyFont="1" applyFill="1" applyBorder="1" applyAlignment="1">
      <alignment horizontal="center" vertical="center"/>
    </xf>
    <xf numFmtId="168" fontId="1" fillId="5" borderId="25" xfId="0" applyNumberFormat="1" applyFont="1" applyFill="1" applyBorder="1" applyAlignment="1">
      <alignment horizontal="center" vertical="center"/>
    </xf>
    <xf numFmtId="4" fontId="3" fillId="4" borderId="44" xfId="0" applyNumberFormat="1" applyFont="1" applyFill="1" applyBorder="1" applyAlignment="1" applyProtection="1">
      <alignment horizontal="right" vertical="center"/>
      <protection locked="0"/>
    </xf>
    <xf numFmtId="4" fontId="3" fillId="4" borderId="41" xfId="0" applyNumberFormat="1" applyFont="1" applyFill="1" applyBorder="1" applyAlignment="1" applyProtection="1">
      <alignment horizontal="right" vertical="center"/>
      <protection locked="0"/>
    </xf>
    <xf numFmtId="4" fontId="3" fillId="4" borderId="45" xfId="0" applyNumberFormat="1" applyFont="1" applyFill="1" applyBorder="1" applyAlignment="1" applyProtection="1">
      <alignment horizontal="right" vertical="center"/>
      <protection locked="0"/>
    </xf>
    <xf numFmtId="0" fontId="2" fillId="5" borderId="44" xfId="0" applyFont="1" applyFill="1" applyBorder="1" applyAlignment="1">
      <alignment horizontal="center" vertical="center"/>
    </xf>
    <xf numFmtId="0" fontId="2" fillId="5" borderId="41" xfId="0" applyFont="1" applyFill="1" applyBorder="1" applyAlignment="1">
      <alignment horizontal="center" vertical="center"/>
    </xf>
    <xf numFmtId="0" fontId="2" fillId="5" borderId="26" xfId="0" applyFont="1" applyFill="1" applyBorder="1" applyAlignment="1">
      <alignment horizontal="center" vertical="center"/>
    </xf>
    <xf numFmtId="0" fontId="2" fillId="5" borderId="22" xfId="0" applyFont="1" applyFill="1" applyBorder="1" applyAlignment="1">
      <alignment horizontal="center" vertical="center"/>
    </xf>
    <xf numFmtId="168" fontId="1" fillId="5" borderId="22" xfId="0" applyNumberFormat="1" applyFont="1" applyFill="1" applyBorder="1" applyAlignment="1">
      <alignment horizontal="center" vertical="center"/>
    </xf>
    <xf numFmtId="168" fontId="1" fillId="5" borderId="41" xfId="0" applyNumberFormat="1" applyFont="1" applyFill="1" applyBorder="1" applyAlignment="1">
      <alignment horizontal="center" vertical="center"/>
    </xf>
    <xf numFmtId="168" fontId="1" fillId="5" borderId="26" xfId="0" applyNumberFormat="1" applyFont="1" applyFill="1" applyBorder="1" applyAlignment="1">
      <alignment horizontal="center" vertical="center"/>
    </xf>
    <xf numFmtId="164" fontId="5" fillId="5" borderId="22" xfId="0" applyNumberFormat="1" applyFont="1" applyFill="1" applyBorder="1" applyAlignment="1">
      <alignment horizontal="right" vertical="center"/>
    </xf>
    <xf numFmtId="164" fontId="5" fillId="5" borderId="41" xfId="0" applyNumberFormat="1" applyFont="1" applyFill="1" applyBorder="1" applyAlignment="1">
      <alignment horizontal="right" vertical="center"/>
    </xf>
    <xf numFmtId="164" fontId="5" fillId="5" borderId="45" xfId="0" applyNumberFormat="1" applyFont="1" applyFill="1" applyBorder="1" applyAlignment="1">
      <alignment horizontal="right" vertical="center"/>
    </xf>
    <xf numFmtId="0" fontId="1" fillId="5" borderId="27" xfId="0" applyFont="1" applyFill="1" applyBorder="1" applyAlignment="1">
      <alignment horizontal="center" vertical="center"/>
    </xf>
    <xf numFmtId="0" fontId="1" fillId="5" borderId="25" xfId="0" applyFont="1" applyFill="1" applyBorder="1" applyAlignment="1">
      <alignment horizontal="center" vertical="center"/>
    </xf>
    <xf numFmtId="0" fontId="1" fillId="5" borderId="41" xfId="0" applyFont="1" applyFill="1" applyBorder="1" applyAlignment="1">
      <alignment horizontal="center" vertical="center"/>
    </xf>
    <xf numFmtId="0" fontId="1" fillId="5" borderId="26" xfId="0" applyFont="1" applyFill="1" applyBorder="1" applyAlignment="1">
      <alignment horizontal="center" vertical="center"/>
    </xf>
    <xf numFmtId="167" fontId="1" fillId="5" borderId="22" xfId="0" applyNumberFormat="1" applyFont="1" applyFill="1" applyBorder="1" applyAlignment="1">
      <alignment horizontal="center" vertical="center"/>
    </xf>
    <xf numFmtId="167" fontId="1" fillId="5" borderId="41" xfId="0" applyNumberFormat="1" applyFont="1" applyFill="1" applyBorder="1" applyAlignment="1">
      <alignment horizontal="center" vertical="center"/>
    </xf>
    <xf numFmtId="167" fontId="1" fillId="5" borderId="26" xfId="0" applyNumberFormat="1" applyFont="1" applyFill="1" applyBorder="1" applyAlignment="1">
      <alignment horizontal="center" vertical="center"/>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164" fontId="5" fillId="6" borderId="7" xfId="0" applyNumberFormat="1" applyFont="1" applyFill="1" applyBorder="1" applyAlignment="1">
      <alignment horizontal="right" vertical="center"/>
    </xf>
    <xf numFmtId="164" fontId="5" fillId="6" borderId="8" xfId="0" applyNumberFormat="1" applyFont="1" applyFill="1" applyBorder="1" applyAlignment="1">
      <alignment horizontal="right" vertical="center"/>
    </xf>
    <xf numFmtId="164" fontId="5" fillId="6" borderId="9" xfId="0" applyNumberFormat="1" applyFont="1" applyFill="1" applyBorder="1" applyAlignment="1">
      <alignment horizontal="right" vertical="center"/>
    </xf>
    <xf numFmtId="4" fontId="3" fillId="4" borderId="49" xfId="0" applyNumberFormat="1" applyFont="1" applyFill="1" applyBorder="1" applyAlignment="1" applyProtection="1">
      <alignment horizontal="right" vertical="center"/>
      <protection locked="0"/>
    </xf>
    <xf numFmtId="4" fontId="3" fillId="4" borderId="40" xfId="0" applyNumberFormat="1" applyFont="1" applyFill="1" applyBorder="1" applyAlignment="1" applyProtection="1">
      <alignment horizontal="right" vertical="center"/>
      <protection locked="0"/>
    </xf>
    <xf numFmtId="4" fontId="3" fillId="4" borderId="48" xfId="0" applyNumberFormat="1" applyFont="1" applyFill="1" applyBorder="1" applyAlignment="1" applyProtection="1">
      <alignment horizontal="right" vertical="center"/>
      <protection locked="0"/>
    </xf>
    <xf numFmtId="0" fontId="2" fillId="5" borderId="49" xfId="0" applyFont="1" applyFill="1" applyBorder="1" applyAlignment="1">
      <alignment horizontal="center" vertical="center"/>
    </xf>
    <xf numFmtId="0" fontId="2" fillId="5" borderId="40" xfId="0" applyFont="1" applyFill="1" applyBorder="1" applyAlignment="1">
      <alignment horizontal="center" vertical="center"/>
    </xf>
    <xf numFmtId="0" fontId="2" fillId="5" borderId="23" xfId="0" applyFont="1" applyFill="1" applyBorder="1" applyAlignment="1">
      <alignment horizontal="center" vertical="center"/>
    </xf>
    <xf numFmtId="0" fontId="2" fillId="5" borderId="20" xfId="0" applyFont="1" applyFill="1" applyBorder="1" applyAlignment="1">
      <alignment horizontal="center" vertical="center"/>
    </xf>
    <xf numFmtId="168" fontId="1" fillId="5" borderId="20" xfId="0" applyNumberFormat="1" applyFont="1" applyFill="1" applyBorder="1" applyAlignment="1">
      <alignment horizontal="center" vertical="center"/>
    </xf>
    <xf numFmtId="168" fontId="1" fillId="5" borderId="40" xfId="0" applyNumberFormat="1" applyFont="1" applyFill="1" applyBorder="1" applyAlignment="1">
      <alignment horizontal="center" vertical="center"/>
    </xf>
    <xf numFmtId="168" fontId="1" fillId="5" borderId="23" xfId="0" applyNumberFormat="1" applyFont="1" applyFill="1" applyBorder="1" applyAlignment="1">
      <alignment horizontal="center" vertical="center"/>
    </xf>
    <xf numFmtId="164" fontId="5" fillId="5" borderId="20" xfId="0" applyNumberFormat="1" applyFont="1" applyFill="1" applyBorder="1" applyAlignment="1">
      <alignment horizontal="right" vertical="center"/>
    </xf>
    <xf numFmtId="164" fontId="5" fillId="5" borderId="40" xfId="0" applyNumberFormat="1" applyFont="1" applyFill="1" applyBorder="1" applyAlignment="1">
      <alignment horizontal="right" vertical="center"/>
    </xf>
    <xf numFmtId="164" fontId="5" fillId="5" borderId="48" xfId="0" applyNumberFormat="1" applyFont="1" applyFill="1" applyBorder="1" applyAlignment="1">
      <alignment horizontal="right" vertical="center"/>
    </xf>
    <xf numFmtId="0" fontId="1" fillId="5" borderId="40" xfId="0" applyFont="1" applyFill="1" applyBorder="1" applyAlignment="1">
      <alignment horizontal="center" vertical="center"/>
    </xf>
    <xf numFmtId="0" fontId="1" fillId="5" borderId="23" xfId="0" applyFont="1" applyFill="1" applyBorder="1" applyAlignment="1">
      <alignment horizontal="center" vertical="center"/>
    </xf>
    <xf numFmtId="167" fontId="1" fillId="5" borderId="20" xfId="0" applyNumberFormat="1" applyFont="1" applyFill="1" applyBorder="1" applyAlignment="1">
      <alignment horizontal="center" vertical="center"/>
    </xf>
    <xf numFmtId="167" fontId="1" fillId="5" borderId="40" xfId="0" applyNumberFormat="1" applyFont="1" applyFill="1" applyBorder="1" applyAlignment="1">
      <alignment horizontal="center" vertical="center"/>
    </xf>
    <xf numFmtId="167" fontId="1" fillId="5" borderId="23" xfId="0" applyNumberFormat="1" applyFont="1" applyFill="1" applyBorder="1" applyAlignment="1">
      <alignment horizontal="center" vertical="center"/>
    </xf>
    <xf numFmtId="4" fontId="3" fillId="4" borderId="15" xfId="0" applyNumberFormat="1" applyFont="1" applyFill="1" applyBorder="1" applyAlignment="1" applyProtection="1">
      <alignment horizontal="right" vertical="center"/>
      <protection locked="0"/>
    </xf>
    <xf numFmtId="4" fontId="3" fillId="4" borderId="10" xfId="0" applyNumberFormat="1" applyFont="1" applyFill="1" applyBorder="1" applyAlignment="1" applyProtection="1">
      <alignment horizontal="right" vertical="center"/>
      <protection locked="0"/>
    </xf>
    <xf numFmtId="4" fontId="3" fillId="4" borderId="21" xfId="0" applyNumberFormat="1" applyFont="1" applyFill="1" applyBorder="1" applyAlignment="1" applyProtection="1">
      <alignment horizontal="right" vertical="center"/>
      <protection locked="0"/>
    </xf>
    <xf numFmtId="0" fontId="2" fillId="5" borderId="15" xfId="0" applyFont="1" applyFill="1" applyBorder="1" applyAlignment="1">
      <alignment horizontal="center" vertical="center"/>
    </xf>
    <xf numFmtId="0" fontId="2" fillId="5" borderId="10" xfId="0" applyFont="1" applyFill="1" applyBorder="1" applyAlignment="1">
      <alignment horizontal="center" vertical="center"/>
    </xf>
    <xf numFmtId="165" fontId="1" fillId="5" borderId="10" xfId="0" applyNumberFormat="1" applyFont="1" applyFill="1" applyBorder="1" applyAlignment="1">
      <alignment horizontal="center" vertical="center"/>
    </xf>
    <xf numFmtId="164" fontId="5" fillId="5" borderId="10" xfId="0" applyNumberFormat="1" applyFont="1" applyFill="1" applyBorder="1" applyAlignment="1">
      <alignment horizontal="right" vertical="center"/>
    </xf>
    <xf numFmtId="164" fontId="5" fillId="5" borderId="16" xfId="0" applyNumberFormat="1" applyFont="1" applyFill="1" applyBorder="1" applyAlignment="1">
      <alignment horizontal="right" vertical="center"/>
    </xf>
    <xf numFmtId="4" fontId="3" fillId="4" borderId="12" xfId="0" applyNumberFormat="1" applyFont="1" applyFill="1" applyBorder="1" applyAlignment="1" applyProtection="1">
      <alignment horizontal="right" vertical="center"/>
      <protection locked="0"/>
    </xf>
    <xf numFmtId="4" fontId="3" fillId="4" borderId="13" xfId="0" applyNumberFormat="1" applyFont="1" applyFill="1" applyBorder="1" applyAlignment="1" applyProtection="1">
      <alignment horizontal="right" vertical="center"/>
      <protection locked="0"/>
    </xf>
    <xf numFmtId="4" fontId="3" fillId="4" borderId="20" xfId="0" applyNumberFormat="1" applyFont="1" applyFill="1" applyBorder="1" applyAlignment="1" applyProtection="1">
      <alignment horizontal="right" vertical="center"/>
      <protection locked="0"/>
    </xf>
    <xf numFmtId="0" fontId="2" fillId="5" borderId="12" xfId="0" applyFont="1" applyFill="1" applyBorder="1" applyAlignment="1">
      <alignment horizontal="center" vertical="center"/>
    </xf>
    <xf numFmtId="0" fontId="2" fillId="5" borderId="13" xfId="0" applyFont="1" applyFill="1" applyBorder="1" applyAlignment="1">
      <alignment horizontal="center" vertical="center"/>
    </xf>
    <xf numFmtId="165" fontId="1" fillId="5" borderId="13" xfId="0" applyNumberFormat="1" applyFont="1" applyFill="1" applyBorder="1" applyAlignment="1">
      <alignment horizontal="center" vertical="center"/>
    </xf>
    <xf numFmtId="164" fontId="5" fillId="5" borderId="13" xfId="0" applyNumberFormat="1" applyFont="1" applyFill="1" applyBorder="1" applyAlignment="1">
      <alignment horizontal="right" vertical="center"/>
    </xf>
    <xf numFmtId="164" fontId="5" fillId="5" borderId="14" xfId="0" applyNumberFormat="1" applyFont="1" applyFill="1" applyBorder="1" applyAlignment="1">
      <alignment horizontal="right" vertical="center"/>
    </xf>
    <xf numFmtId="3" fontId="1" fillId="5" borderId="21" xfId="0" applyNumberFormat="1" applyFont="1" applyFill="1" applyBorder="1" applyAlignment="1">
      <alignment horizontal="center" vertical="center"/>
    </xf>
    <xf numFmtId="3" fontId="1" fillId="5" borderId="27" xfId="0" applyNumberFormat="1" applyFont="1" applyFill="1" applyBorder="1" applyAlignment="1">
      <alignment horizontal="center" vertical="center"/>
    </xf>
    <xf numFmtId="3" fontId="1" fillId="5" borderId="25" xfId="0" applyNumberFormat="1" applyFont="1" applyFill="1" applyBorder="1" applyAlignment="1">
      <alignment horizontal="center" vertical="center"/>
    </xf>
    <xf numFmtId="4" fontId="3" fillId="4" borderId="14" xfId="0" applyNumberFormat="1" applyFont="1" applyFill="1" applyBorder="1" applyAlignment="1" applyProtection="1">
      <alignment horizontal="right" vertical="center"/>
      <protection locked="0"/>
    </xf>
    <xf numFmtId="4" fontId="3" fillId="4" borderId="17" xfId="0" applyNumberFormat="1" applyFont="1" applyFill="1" applyBorder="1" applyAlignment="1" applyProtection="1">
      <alignment horizontal="right" vertical="center"/>
      <protection locked="0"/>
    </xf>
    <xf numFmtId="4" fontId="3" fillId="4" borderId="18" xfId="0" applyNumberFormat="1" applyFont="1" applyFill="1" applyBorder="1" applyAlignment="1" applyProtection="1">
      <alignment horizontal="right" vertical="center"/>
      <protection locked="0"/>
    </xf>
    <xf numFmtId="4" fontId="3" fillId="4" borderId="22" xfId="0" applyNumberFormat="1" applyFont="1" applyFill="1" applyBorder="1" applyAlignment="1" applyProtection="1">
      <alignment horizontal="right" vertical="center"/>
      <protection locked="0"/>
    </xf>
    <xf numFmtId="0" fontId="2" fillId="5" borderId="17" xfId="0" applyFont="1" applyFill="1" applyBorder="1" applyAlignment="1">
      <alignment horizontal="center" vertical="center"/>
    </xf>
    <xf numFmtId="0" fontId="2" fillId="5" borderId="18" xfId="0" applyFont="1" applyFill="1" applyBorder="1" applyAlignment="1">
      <alignment horizontal="center" vertical="center"/>
    </xf>
    <xf numFmtId="165" fontId="1" fillId="5" borderId="18" xfId="0" applyNumberFormat="1" applyFont="1" applyFill="1" applyBorder="1" applyAlignment="1">
      <alignment horizontal="center" vertical="center"/>
    </xf>
    <xf numFmtId="164" fontId="5" fillId="5" borderId="18" xfId="0" applyNumberFormat="1" applyFont="1" applyFill="1" applyBorder="1" applyAlignment="1">
      <alignment horizontal="right" vertical="center"/>
    </xf>
    <xf numFmtId="164" fontId="5" fillId="5" borderId="19" xfId="0" applyNumberFormat="1" applyFont="1" applyFill="1" applyBorder="1" applyAlignment="1">
      <alignment horizontal="right" vertical="center"/>
    </xf>
    <xf numFmtId="4" fontId="3" fillId="4" borderId="16" xfId="0" applyNumberFormat="1" applyFont="1" applyFill="1" applyBorder="1" applyAlignment="1" applyProtection="1">
      <alignment horizontal="right" vertical="center"/>
      <protection locked="0"/>
    </xf>
    <xf numFmtId="0" fontId="2" fillId="5" borderId="24" xfId="0" applyFont="1" applyFill="1" applyBorder="1" applyAlignment="1">
      <alignment horizontal="center" vertical="center"/>
    </xf>
    <xf numFmtId="0" fontId="2" fillId="5" borderId="11" xfId="0" applyFont="1" applyFill="1" applyBorder="1" applyAlignment="1">
      <alignment horizontal="center" vertical="center"/>
    </xf>
    <xf numFmtId="0" fontId="3" fillId="5" borderId="10" xfId="0" applyFont="1" applyFill="1" applyBorder="1" applyAlignment="1">
      <alignment horizontal="center" vertical="center"/>
    </xf>
    <xf numFmtId="0" fontId="1" fillId="5" borderId="10" xfId="0" applyFont="1" applyFill="1" applyBorder="1" applyAlignment="1">
      <alignment horizontal="center" vertical="center"/>
    </xf>
    <xf numFmtId="4" fontId="3" fillId="4" borderId="19" xfId="0" applyNumberFormat="1" applyFont="1" applyFill="1" applyBorder="1" applyAlignment="1" applyProtection="1">
      <alignment horizontal="right" vertical="center"/>
      <protection locked="0"/>
    </xf>
    <xf numFmtId="0" fontId="16" fillId="0" borderId="0" xfId="0" applyFont="1" applyAlignment="1">
      <alignment horizontal="center" vertical="center" wrapText="1"/>
    </xf>
    <xf numFmtId="0" fontId="1" fillId="5" borderId="20" xfId="0" applyFont="1" applyFill="1" applyBorder="1" applyAlignment="1">
      <alignment horizontal="center" vertical="center"/>
    </xf>
    <xf numFmtId="3" fontId="1" fillId="5" borderId="20" xfId="0" applyNumberFormat="1" applyFont="1" applyFill="1" applyBorder="1" applyAlignment="1">
      <alignment horizontal="center" vertical="center"/>
    </xf>
    <xf numFmtId="3" fontId="1" fillId="5" borderId="40" xfId="0" applyNumberFormat="1" applyFont="1" applyFill="1" applyBorder="1" applyAlignment="1">
      <alignment horizontal="center" vertical="center"/>
    </xf>
    <xf numFmtId="3" fontId="1" fillId="5" borderId="23" xfId="0" applyNumberFormat="1" applyFont="1" applyFill="1" applyBorder="1" applyAlignment="1">
      <alignment horizontal="center" vertical="center"/>
    </xf>
    <xf numFmtId="0" fontId="1" fillId="5" borderId="21" xfId="0" applyFont="1" applyFill="1" applyBorder="1" applyAlignment="1">
      <alignment horizontal="center" vertical="center"/>
    </xf>
    <xf numFmtId="3" fontId="1" fillId="5" borderId="22" xfId="0" applyNumberFormat="1" applyFont="1" applyFill="1" applyBorder="1" applyAlignment="1">
      <alignment horizontal="center" vertical="center"/>
    </xf>
    <xf numFmtId="3" fontId="1" fillId="5" borderId="41" xfId="0" applyNumberFormat="1" applyFont="1" applyFill="1" applyBorder="1" applyAlignment="1">
      <alignment horizontal="center" vertical="center"/>
    </xf>
    <xf numFmtId="3" fontId="1" fillId="5" borderId="26" xfId="0" applyNumberFormat="1" applyFont="1" applyFill="1" applyBorder="1" applyAlignment="1">
      <alignment horizontal="center" vertical="center"/>
    </xf>
    <xf numFmtId="0" fontId="1" fillId="5" borderId="22"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19" fillId="12" borderId="39" xfId="0" applyFont="1" applyFill="1" applyBorder="1" applyAlignment="1">
      <alignment horizontal="center" vertical="center"/>
    </xf>
    <xf numFmtId="4" fontId="0" fillId="4" borderId="39" xfId="0" applyNumberFormat="1" applyFill="1" applyBorder="1" applyAlignment="1" applyProtection="1">
      <alignment horizontal="right" vertical="center"/>
      <protection locked="0"/>
    </xf>
    <xf numFmtId="0" fontId="20" fillId="7" borderId="0" xfId="0" applyFont="1" applyFill="1" applyBorder="1" applyAlignment="1">
      <alignment horizontal="center" vertical="center"/>
    </xf>
    <xf numFmtId="0" fontId="20" fillId="7" borderId="38" xfId="0" applyFont="1" applyFill="1" applyBorder="1" applyAlignment="1">
      <alignment horizontal="center" vertical="center"/>
    </xf>
    <xf numFmtId="0" fontId="0" fillId="13" borderId="39" xfId="0" applyFill="1" applyBorder="1" applyAlignment="1">
      <alignment horizontal="center" vertical="center"/>
    </xf>
    <xf numFmtId="0" fontId="19" fillId="12" borderId="39" xfId="0" applyFont="1" applyFill="1" applyBorder="1" applyAlignment="1">
      <alignment horizontal="center" vertical="center" wrapText="1"/>
    </xf>
    <xf numFmtId="4" fontId="24" fillId="13" borderId="39" xfId="0" applyNumberFormat="1" applyFont="1" applyFill="1" applyBorder="1" applyAlignment="1">
      <alignment horizontal="right" vertical="center"/>
    </xf>
    <xf numFmtId="4" fontId="0" fillId="4" borderId="39" xfId="0" applyNumberFormat="1" applyFill="1" applyBorder="1" applyAlignment="1" applyProtection="1">
      <alignment horizontal="center" vertical="center"/>
      <protection locked="0"/>
    </xf>
    <xf numFmtId="0" fontId="12" fillId="8" borderId="28" xfId="0" applyFont="1" applyFill="1" applyBorder="1" applyAlignment="1">
      <alignment horizontal="center" vertical="center"/>
    </xf>
    <xf numFmtId="0" fontId="12" fillId="8" borderId="29" xfId="0" applyFont="1" applyFill="1" applyBorder="1" applyAlignment="1">
      <alignment horizontal="center" vertical="center"/>
    </xf>
    <xf numFmtId="0" fontId="12" fillId="8" borderId="30" xfId="0" applyFont="1" applyFill="1" applyBorder="1" applyAlignment="1">
      <alignment horizontal="center" vertical="center"/>
    </xf>
    <xf numFmtId="0" fontId="12" fillId="8" borderId="31" xfId="0" applyFont="1" applyFill="1" applyBorder="1" applyAlignment="1">
      <alignment horizontal="center" vertical="center"/>
    </xf>
    <xf numFmtId="0" fontId="12" fillId="8" borderId="32" xfId="0" applyFont="1" applyFill="1" applyBorder="1" applyAlignment="1">
      <alignment horizontal="center" vertical="center"/>
    </xf>
    <xf numFmtId="0" fontId="12" fillId="8" borderId="33" xfId="0" applyFont="1" applyFill="1" applyBorder="1" applyAlignment="1">
      <alignment horizontal="center" vertical="center"/>
    </xf>
    <xf numFmtId="4" fontId="13" fillId="9" borderId="28" xfId="0" applyNumberFormat="1" applyFont="1" applyFill="1" applyBorder="1" applyAlignment="1" applyProtection="1">
      <alignment horizontal="center" vertical="center"/>
      <protection locked="0"/>
    </xf>
    <xf numFmtId="4" fontId="13" fillId="9" borderId="30" xfId="0" applyNumberFormat="1" applyFont="1" applyFill="1" applyBorder="1" applyAlignment="1" applyProtection="1">
      <alignment horizontal="center" vertical="center"/>
      <protection locked="0"/>
    </xf>
    <xf numFmtId="4" fontId="13" fillId="9" borderId="31" xfId="0" applyNumberFormat="1" applyFont="1" applyFill="1" applyBorder="1" applyAlignment="1" applyProtection="1">
      <alignment horizontal="center" vertical="center"/>
      <protection locked="0"/>
    </xf>
    <xf numFmtId="4" fontId="13" fillId="9" borderId="33" xfId="0" applyNumberFormat="1" applyFont="1" applyFill="1" applyBorder="1" applyAlignment="1" applyProtection="1">
      <alignment horizontal="center" vertical="center"/>
      <protection locked="0"/>
    </xf>
    <xf numFmtId="4" fontId="13" fillId="10" borderId="28" xfId="0" applyNumberFormat="1" applyFont="1" applyFill="1" applyBorder="1" applyAlignment="1">
      <alignment horizontal="center" vertical="center"/>
    </xf>
    <xf numFmtId="4" fontId="13" fillId="10" borderId="30" xfId="0" applyNumberFormat="1" applyFont="1" applyFill="1" applyBorder="1" applyAlignment="1">
      <alignment horizontal="center" vertical="center"/>
    </xf>
    <xf numFmtId="4" fontId="13" fillId="10" borderId="31" xfId="0" applyNumberFormat="1" applyFont="1" applyFill="1" applyBorder="1" applyAlignment="1">
      <alignment horizontal="center" vertical="center"/>
    </xf>
    <xf numFmtId="4" fontId="13" fillId="10" borderId="33" xfId="0" applyNumberFormat="1" applyFont="1" applyFill="1" applyBorder="1" applyAlignment="1">
      <alignment horizontal="center" vertical="center"/>
    </xf>
    <xf numFmtId="0" fontId="11" fillId="7" borderId="28" xfId="0" applyFont="1" applyFill="1" applyBorder="1" applyAlignment="1">
      <alignment horizontal="center" vertical="center"/>
    </xf>
    <xf numFmtId="0" fontId="11" fillId="7" borderId="29" xfId="0" applyFont="1" applyFill="1" applyBorder="1" applyAlignment="1">
      <alignment horizontal="center" vertical="center"/>
    </xf>
    <xf numFmtId="0" fontId="11" fillId="7" borderId="30" xfId="0" applyFont="1" applyFill="1" applyBorder="1" applyAlignment="1">
      <alignment horizontal="center" vertical="center"/>
    </xf>
    <xf numFmtId="0" fontId="11" fillId="7" borderId="31" xfId="0" applyFont="1" applyFill="1" applyBorder="1" applyAlignment="1">
      <alignment horizontal="center" vertical="center"/>
    </xf>
    <xf numFmtId="0" fontId="11" fillId="7" borderId="32" xfId="0" applyFont="1" applyFill="1" applyBorder="1" applyAlignment="1">
      <alignment horizontal="center" vertical="center"/>
    </xf>
    <xf numFmtId="0" fontId="11" fillId="7" borderId="33" xfId="0" applyFont="1" applyFill="1" applyBorder="1" applyAlignment="1">
      <alignment horizontal="center" vertical="center"/>
    </xf>
    <xf numFmtId="0" fontId="12" fillId="8" borderId="34" xfId="0" applyFont="1" applyFill="1" applyBorder="1" applyAlignment="1">
      <alignment horizontal="center" vertical="center"/>
    </xf>
    <xf numFmtId="0" fontId="12" fillId="8" borderId="35" xfId="0" applyFont="1" applyFill="1" applyBorder="1" applyAlignment="1">
      <alignment horizontal="center" vertical="center"/>
    </xf>
    <xf numFmtId="0" fontId="12" fillId="8" borderId="36" xfId="0" applyFont="1" applyFill="1" applyBorder="1" applyAlignment="1">
      <alignment horizontal="center" vertical="center"/>
    </xf>
    <xf numFmtId="164" fontId="13" fillId="10" borderId="28" xfId="0" applyNumberFormat="1" applyFont="1" applyFill="1" applyBorder="1" applyAlignment="1">
      <alignment horizontal="center" vertical="center"/>
    </xf>
    <xf numFmtId="164" fontId="13" fillId="10" borderId="30" xfId="0" applyNumberFormat="1" applyFont="1" applyFill="1" applyBorder="1" applyAlignment="1">
      <alignment horizontal="center" vertical="center"/>
    </xf>
    <xf numFmtId="164" fontId="13" fillId="10" borderId="31" xfId="0" applyNumberFormat="1" applyFont="1" applyFill="1" applyBorder="1" applyAlignment="1">
      <alignment horizontal="center" vertical="center"/>
    </xf>
    <xf numFmtId="164" fontId="13" fillId="10" borderId="33" xfId="0" applyNumberFormat="1" applyFont="1" applyFill="1" applyBorder="1" applyAlignment="1">
      <alignment horizontal="center" vertical="center"/>
    </xf>
    <xf numFmtId="164" fontId="13" fillId="9" borderId="28" xfId="0" applyNumberFormat="1" applyFont="1" applyFill="1" applyBorder="1" applyAlignment="1" applyProtection="1">
      <alignment horizontal="center" vertical="center"/>
      <protection locked="0"/>
    </xf>
    <xf numFmtId="164" fontId="13" fillId="9" borderId="30" xfId="0" applyNumberFormat="1" applyFont="1" applyFill="1" applyBorder="1" applyAlignment="1" applyProtection="1">
      <alignment horizontal="center" vertical="center"/>
      <protection locked="0"/>
    </xf>
    <xf numFmtId="164" fontId="13" fillId="9" borderId="31" xfId="0" applyNumberFormat="1" applyFont="1" applyFill="1" applyBorder="1" applyAlignment="1" applyProtection="1">
      <alignment horizontal="center" vertical="center"/>
      <protection locked="0"/>
    </xf>
    <xf numFmtId="164" fontId="13" fillId="9" borderId="33" xfId="0" applyNumberFormat="1" applyFont="1" applyFill="1" applyBorder="1" applyAlignment="1" applyProtection="1">
      <alignment horizontal="center" vertical="center"/>
      <protection locked="0"/>
    </xf>
    <xf numFmtId="0" fontId="12" fillId="8" borderId="28" xfId="0" applyFont="1" applyFill="1" applyBorder="1" applyAlignment="1">
      <alignment horizontal="center" vertical="center" wrapText="1"/>
    </xf>
    <xf numFmtId="165" fontId="13" fillId="10" borderId="28" xfId="0" applyNumberFormat="1" applyFont="1" applyFill="1" applyBorder="1" applyAlignment="1">
      <alignment horizontal="center" vertical="center"/>
    </xf>
    <xf numFmtId="165" fontId="13" fillId="10" borderId="30" xfId="0" applyNumberFormat="1" applyFont="1" applyFill="1" applyBorder="1" applyAlignment="1">
      <alignment horizontal="center" vertical="center"/>
    </xf>
    <xf numFmtId="165" fontId="13" fillId="10" borderId="31" xfId="0" applyNumberFormat="1" applyFont="1" applyFill="1" applyBorder="1" applyAlignment="1">
      <alignment horizontal="center" vertical="center"/>
    </xf>
    <xf numFmtId="165" fontId="13" fillId="10" borderId="33" xfId="0" applyNumberFormat="1" applyFont="1" applyFill="1" applyBorder="1" applyAlignment="1">
      <alignment horizontal="center" vertical="center"/>
    </xf>
    <xf numFmtId="165" fontId="13" fillId="9" borderId="28" xfId="0" applyNumberFormat="1" applyFont="1" applyFill="1" applyBorder="1" applyAlignment="1" applyProtection="1">
      <alignment horizontal="center" vertical="center"/>
      <protection locked="0"/>
    </xf>
    <xf numFmtId="165" fontId="13" fillId="9" borderId="30" xfId="0" applyNumberFormat="1" applyFont="1" applyFill="1" applyBorder="1" applyAlignment="1" applyProtection="1">
      <alignment horizontal="center" vertical="center"/>
      <protection locked="0"/>
    </xf>
    <xf numFmtId="165" fontId="13" fillId="9" borderId="31" xfId="0" applyNumberFormat="1" applyFont="1" applyFill="1" applyBorder="1" applyAlignment="1" applyProtection="1">
      <alignment horizontal="center" vertical="center"/>
      <protection locked="0"/>
    </xf>
    <xf numFmtId="165" fontId="13" fillId="9" borderId="33" xfId="0" applyNumberFormat="1" applyFont="1" applyFill="1" applyBorder="1" applyAlignment="1" applyProtection="1">
      <alignment horizontal="center" vertical="center"/>
      <protection locked="0"/>
    </xf>
    <xf numFmtId="166" fontId="13" fillId="10" borderId="28" xfId="0" applyNumberFormat="1" applyFont="1" applyFill="1" applyBorder="1" applyAlignment="1">
      <alignment horizontal="center" vertical="center"/>
    </xf>
    <xf numFmtId="166" fontId="13" fillId="10" borderId="30" xfId="0" applyNumberFormat="1" applyFont="1" applyFill="1" applyBorder="1" applyAlignment="1">
      <alignment horizontal="center" vertical="center"/>
    </xf>
    <xf numFmtId="166" fontId="13" fillId="10" borderId="31" xfId="0" applyNumberFormat="1" applyFont="1" applyFill="1" applyBorder="1" applyAlignment="1">
      <alignment horizontal="center" vertical="center"/>
    </xf>
    <xf numFmtId="166" fontId="13" fillId="10" borderId="33" xfId="0" applyNumberFormat="1" applyFont="1" applyFill="1" applyBorder="1" applyAlignment="1">
      <alignment horizontal="center" vertical="center"/>
    </xf>
    <xf numFmtId="169" fontId="13" fillId="10" borderId="28" xfId="0" applyNumberFormat="1" applyFont="1" applyFill="1" applyBorder="1" applyAlignment="1">
      <alignment horizontal="center" vertical="center"/>
    </xf>
    <xf numFmtId="169" fontId="13" fillId="10" borderId="30" xfId="0" applyNumberFormat="1" applyFont="1" applyFill="1" applyBorder="1" applyAlignment="1">
      <alignment horizontal="center" vertical="center"/>
    </xf>
    <xf numFmtId="169" fontId="13" fillId="10" borderId="31" xfId="0" applyNumberFormat="1" applyFont="1" applyFill="1" applyBorder="1" applyAlignment="1">
      <alignment horizontal="center" vertical="center"/>
    </xf>
    <xf numFmtId="169" fontId="13" fillId="10" borderId="33" xfId="0" applyNumberFormat="1" applyFont="1" applyFill="1" applyBorder="1" applyAlignment="1">
      <alignment horizontal="center" vertical="center"/>
    </xf>
    <xf numFmtId="168" fontId="13" fillId="10" borderId="28" xfId="0" applyNumberFormat="1" applyFont="1" applyFill="1" applyBorder="1" applyAlignment="1">
      <alignment horizontal="center" vertical="center"/>
    </xf>
    <xf numFmtId="168" fontId="13" fillId="10" borderId="30" xfId="0" applyNumberFormat="1" applyFont="1" applyFill="1" applyBorder="1" applyAlignment="1">
      <alignment horizontal="center" vertical="center"/>
    </xf>
    <xf numFmtId="168" fontId="13" fillId="10" borderId="31" xfId="0" applyNumberFormat="1" applyFont="1" applyFill="1" applyBorder="1" applyAlignment="1">
      <alignment horizontal="center" vertical="center"/>
    </xf>
    <xf numFmtId="168" fontId="13" fillId="10" borderId="33" xfId="0" applyNumberFormat="1" applyFont="1" applyFill="1" applyBorder="1" applyAlignment="1">
      <alignment horizontal="center" vertical="center"/>
    </xf>
    <xf numFmtId="167" fontId="13" fillId="10" borderId="28" xfId="0" applyNumberFormat="1" applyFont="1" applyFill="1" applyBorder="1" applyAlignment="1">
      <alignment horizontal="center" vertical="center"/>
    </xf>
    <xf numFmtId="167" fontId="13" fillId="10" borderId="30" xfId="0" applyNumberFormat="1" applyFont="1" applyFill="1" applyBorder="1" applyAlignment="1">
      <alignment horizontal="center" vertical="center"/>
    </xf>
    <xf numFmtId="167" fontId="13" fillId="10" borderId="31" xfId="0" applyNumberFormat="1" applyFont="1" applyFill="1" applyBorder="1" applyAlignment="1">
      <alignment horizontal="center" vertical="center"/>
    </xf>
    <xf numFmtId="167" fontId="13" fillId="10" borderId="33" xfId="0" applyNumberFormat="1" applyFont="1" applyFill="1" applyBorder="1" applyAlignment="1">
      <alignment horizontal="center" vertical="center"/>
    </xf>
    <xf numFmtId="170" fontId="13" fillId="10" borderId="28" xfId="0" applyNumberFormat="1" applyFont="1" applyFill="1" applyBorder="1" applyAlignment="1">
      <alignment horizontal="center" vertical="center"/>
    </xf>
    <xf numFmtId="170" fontId="13" fillId="10" borderId="30" xfId="0" applyNumberFormat="1" applyFont="1" applyFill="1" applyBorder="1" applyAlignment="1">
      <alignment horizontal="center" vertical="center"/>
    </xf>
    <xf numFmtId="170" fontId="13" fillId="10" borderId="31" xfId="0" applyNumberFormat="1" applyFont="1" applyFill="1" applyBorder="1" applyAlignment="1">
      <alignment horizontal="center" vertical="center"/>
    </xf>
    <xf numFmtId="170" fontId="13" fillId="10" borderId="33"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40</xdr:col>
      <xdr:colOff>55033</xdr:colOff>
      <xdr:row>30</xdr:row>
      <xdr:rowOff>105833</xdr:rowOff>
    </xdr:from>
    <xdr:to>
      <xdr:col>64</xdr:col>
      <xdr:colOff>45259</xdr:colOff>
      <xdr:row>35</xdr:row>
      <xdr:rowOff>168576</xdr:rowOff>
    </xdr:to>
    <xdr:pic>
      <xdr:nvPicPr>
        <xdr:cNvPr id="3" name="Resim 2">
          <a:extLst>
            <a:ext uri="{FF2B5EF4-FFF2-40B4-BE49-F238E27FC236}">
              <a16:creationId xmlns:a16="http://schemas.microsoft.com/office/drawing/2014/main" xmlns="" id="{3DE59CAD-7DD0-4CB3-B23A-5B2DDEFC8C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75033" y="5916083"/>
          <a:ext cx="4562226" cy="1015243"/>
        </a:xfrm>
        <a:prstGeom prst="rect">
          <a:avLst/>
        </a:prstGeom>
      </xdr:spPr>
    </xdr:pic>
    <xdr:clientData/>
  </xdr:twoCellAnchor>
  <xdr:twoCellAnchor editAs="oneCell">
    <xdr:from>
      <xdr:col>10</xdr:col>
      <xdr:colOff>82549</xdr:colOff>
      <xdr:row>42</xdr:row>
      <xdr:rowOff>107751</xdr:rowOff>
    </xdr:from>
    <xdr:to>
      <xdr:col>20</xdr:col>
      <xdr:colOff>65617</xdr:colOff>
      <xdr:row>45</xdr:row>
      <xdr:rowOff>72389</xdr:rowOff>
    </xdr:to>
    <xdr:pic>
      <xdr:nvPicPr>
        <xdr:cNvPr id="4" name="Resim 3">
          <a:extLst>
            <a:ext uri="{FF2B5EF4-FFF2-40B4-BE49-F238E27FC236}">
              <a16:creationId xmlns:a16="http://schemas.microsoft.com/office/drawing/2014/main" xmlns="" id="{075BE774-E5A8-4709-BADB-D01A92C272AC}"/>
            </a:ext>
          </a:extLst>
        </xdr:cNvPr>
        <xdr:cNvPicPr>
          <a:picLocks noChangeAspect="1" noChangeArrowheads="1"/>
        </xdr:cNvPicPr>
      </xdr:nvPicPr>
      <xdr:blipFill>
        <a:blip xmlns:r="http://schemas.openxmlformats.org/officeDocument/2006/relationships" r:embed="rId2">
          <a:extLst>
            <a:ext uri="{BEBA8EAE-BF5A-486C-A8C5-ECC9F3942E4B}">
              <a14:imgProps xmlns:a14="http://schemas.microsoft.com/office/drawing/2010/main">
                <a14:imgLayer r:embed="rId3">
                  <a14:imgEffect>
                    <a14:brightnessContrast bright="20000" contrast="20000"/>
                  </a14:imgEffect>
                </a14:imgLayer>
              </a14:imgProps>
            </a:ext>
            <a:ext uri="{28A0092B-C50C-407E-A947-70E740481C1C}">
              <a14:useLocalDpi xmlns:a14="http://schemas.microsoft.com/office/drawing/2010/main" val="0"/>
            </a:ext>
          </a:extLst>
        </a:blip>
        <a:srcRect/>
        <a:stretch>
          <a:fillRect/>
        </a:stretch>
      </xdr:blipFill>
      <xdr:spPr bwMode="auto">
        <a:xfrm>
          <a:off x="1987549" y="7960584"/>
          <a:ext cx="1888068" cy="5043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47"/>
  <sheetViews>
    <sheetView showGridLines="0" showRowColHeaders="0" tabSelected="1" showRuler="0" view="pageLayout" topLeftCell="A2" zoomScale="90" zoomScaleNormal="100" zoomScalePageLayoutView="90" workbookViewId="0">
      <selection activeCell="B36" sqref="B36:F36"/>
    </sheetView>
  </sheetViews>
  <sheetFormatPr defaultColWidth="2.7109375" defaultRowHeight="15"/>
  <sheetData>
    <row r="1" spans="2:68" ht="15.75" thickBot="1"/>
    <row r="2" spans="2:68" ht="14.45" customHeight="1">
      <c r="B2" s="132" t="s">
        <v>0</v>
      </c>
      <c r="C2" s="133"/>
      <c r="D2" s="133"/>
      <c r="E2" s="133"/>
      <c r="F2" s="134"/>
      <c r="G2" s="132" t="s">
        <v>1</v>
      </c>
      <c r="H2" s="133"/>
      <c r="I2" s="134"/>
      <c r="J2" s="141" t="s">
        <v>2</v>
      </c>
      <c r="K2" s="142"/>
      <c r="L2" s="142"/>
      <c r="M2" s="142"/>
      <c r="N2" s="142"/>
      <c r="O2" s="142"/>
      <c r="P2" s="143"/>
      <c r="Q2" s="132" t="s">
        <v>3</v>
      </c>
      <c r="R2" s="133"/>
      <c r="S2" s="133"/>
      <c r="T2" s="134"/>
      <c r="U2" s="132" t="s">
        <v>124</v>
      </c>
      <c r="V2" s="133"/>
      <c r="W2" s="133"/>
      <c r="X2" s="134"/>
      <c r="Y2" s="132" t="s">
        <v>28</v>
      </c>
      <c r="Z2" s="133"/>
      <c r="AA2" s="133"/>
      <c r="AB2" s="134"/>
      <c r="AC2" s="132" t="s">
        <v>4</v>
      </c>
      <c r="AD2" s="133"/>
      <c r="AE2" s="133"/>
      <c r="AF2" s="133"/>
      <c r="AG2" s="134"/>
      <c r="AK2" s="132" t="s">
        <v>0</v>
      </c>
      <c r="AL2" s="133"/>
      <c r="AM2" s="133"/>
      <c r="AN2" s="133"/>
      <c r="AO2" s="134"/>
      <c r="AP2" s="132" t="s">
        <v>1</v>
      </c>
      <c r="AQ2" s="133"/>
      <c r="AR2" s="134"/>
      <c r="AS2" s="141" t="s">
        <v>2</v>
      </c>
      <c r="AT2" s="142"/>
      <c r="AU2" s="142"/>
      <c r="AV2" s="142"/>
      <c r="AW2" s="142"/>
      <c r="AX2" s="142"/>
      <c r="AY2" s="143"/>
      <c r="AZ2" s="132" t="s">
        <v>3</v>
      </c>
      <c r="BA2" s="133"/>
      <c r="BB2" s="133"/>
      <c r="BC2" s="134"/>
      <c r="BD2" s="132" t="s">
        <v>124</v>
      </c>
      <c r="BE2" s="133"/>
      <c r="BF2" s="133"/>
      <c r="BG2" s="134"/>
      <c r="BH2" s="132" t="s">
        <v>28</v>
      </c>
      <c r="BI2" s="133"/>
      <c r="BJ2" s="133"/>
      <c r="BK2" s="134"/>
      <c r="BL2" s="132" t="s">
        <v>4</v>
      </c>
      <c r="BM2" s="133"/>
      <c r="BN2" s="133"/>
      <c r="BO2" s="133"/>
      <c r="BP2" s="134"/>
    </row>
    <row r="3" spans="2:68">
      <c r="B3" s="135"/>
      <c r="C3" s="136"/>
      <c r="D3" s="136"/>
      <c r="E3" s="136"/>
      <c r="F3" s="137"/>
      <c r="G3" s="135"/>
      <c r="H3" s="136"/>
      <c r="I3" s="137"/>
      <c r="J3" s="144"/>
      <c r="K3" s="145"/>
      <c r="L3" s="145"/>
      <c r="M3" s="145"/>
      <c r="N3" s="145"/>
      <c r="O3" s="145"/>
      <c r="P3" s="146"/>
      <c r="Q3" s="135"/>
      <c r="R3" s="136"/>
      <c r="S3" s="136"/>
      <c r="T3" s="137"/>
      <c r="U3" s="135"/>
      <c r="V3" s="136"/>
      <c r="W3" s="136"/>
      <c r="X3" s="137"/>
      <c r="Y3" s="135"/>
      <c r="Z3" s="136"/>
      <c r="AA3" s="136"/>
      <c r="AB3" s="137"/>
      <c r="AC3" s="135"/>
      <c r="AD3" s="136"/>
      <c r="AE3" s="136"/>
      <c r="AF3" s="136"/>
      <c r="AG3" s="137"/>
      <c r="AK3" s="135"/>
      <c r="AL3" s="136"/>
      <c r="AM3" s="136"/>
      <c r="AN3" s="136"/>
      <c r="AO3" s="137"/>
      <c r="AP3" s="135"/>
      <c r="AQ3" s="136"/>
      <c r="AR3" s="137"/>
      <c r="AS3" s="144"/>
      <c r="AT3" s="145"/>
      <c r="AU3" s="145"/>
      <c r="AV3" s="145"/>
      <c r="AW3" s="145"/>
      <c r="AX3" s="145"/>
      <c r="AY3" s="146"/>
      <c r="AZ3" s="135"/>
      <c r="BA3" s="136"/>
      <c r="BB3" s="136"/>
      <c r="BC3" s="137"/>
      <c r="BD3" s="135"/>
      <c r="BE3" s="136"/>
      <c r="BF3" s="136"/>
      <c r="BG3" s="137"/>
      <c r="BH3" s="135"/>
      <c r="BI3" s="136"/>
      <c r="BJ3" s="136"/>
      <c r="BK3" s="137"/>
      <c r="BL3" s="135"/>
      <c r="BM3" s="136"/>
      <c r="BN3" s="136"/>
      <c r="BO3" s="136"/>
      <c r="BP3" s="137"/>
    </row>
    <row r="4" spans="2:68" ht="15.75" thickBot="1">
      <c r="B4" s="138"/>
      <c r="C4" s="139"/>
      <c r="D4" s="139"/>
      <c r="E4" s="139"/>
      <c r="F4" s="140"/>
      <c r="G4" s="138"/>
      <c r="H4" s="139"/>
      <c r="I4" s="140"/>
      <c r="J4" s="147"/>
      <c r="K4" s="148"/>
      <c r="L4" s="148"/>
      <c r="M4" s="148"/>
      <c r="N4" s="148"/>
      <c r="O4" s="148"/>
      <c r="P4" s="149"/>
      <c r="Q4" s="138"/>
      <c r="R4" s="139"/>
      <c r="S4" s="139"/>
      <c r="T4" s="140"/>
      <c r="U4" s="138"/>
      <c r="V4" s="139"/>
      <c r="W4" s="139"/>
      <c r="X4" s="140"/>
      <c r="Y4" s="138"/>
      <c r="Z4" s="139"/>
      <c r="AA4" s="139"/>
      <c r="AB4" s="140"/>
      <c r="AC4" s="138"/>
      <c r="AD4" s="139"/>
      <c r="AE4" s="139"/>
      <c r="AF4" s="139"/>
      <c r="AG4" s="140"/>
      <c r="AK4" s="138"/>
      <c r="AL4" s="139"/>
      <c r="AM4" s="139"/>
      <c r="AN4" s="139"/>
      <c r="AO4" s="140"/>
      <c r="AP4" s="138"/>
      <c r="AQ4" s="139"/>
      <c r="AR4" s="140"/>
      <c r="AS4" s="147"/>
      <c r="AT4" s="148"/>
      <c r="AU4" s="148"/>
      <c r="AV4" s="148"/>
      <c r="AW4" s="148"/>
      <c r="AX4" s="148"/>
      <c r="AY4" s="149"/>
      <c r="AZ4" s="138"/>
      <c r="BA4" s="139"/>
      <c r="BB4" s="139"/>
      <c r="BC4" s="140"/>
      <c r="BD4" s="138"/>
      <c r="BE4" s="139"/>
      <c r="BF4" s="139"/>
      <c r="BG4" s="140"/>
      <c r="BH4" s="138"/>
      <c r="BI4" s="139"/>
      <c r="BJ4" s="139"/>
      <c r="BK4" s="140"/>
      <c r="BL4" s="138"/>
      <c r="BM4" s="139"/>
      <c r="BN4" s="139"/>
      <c r="BO4" s="139"/>
      <c r="BP4" s="140"/>
    </row>
    <row r="5" spans="2:68" ht="15.75" thickBot="1">
      <c r="B5" s="63" t="s">
        <v>77</v>
      </c>
      <c r="C5" s="64"/>
      <c r="D5" s="64"/>
      <c r="E5" s="64"/>
      <c r="F5" s="64"/>
      <c r="G5" s="64"/>
      <c r="H5" s="64"/>
      <c r="I5" s="64"/>
      <c r="J5" s="64"/>
      <c r="K5" s="64"/>
      <c r="L5" s="64"/>
      <c r="M5" s="64"/>
      <c r="N5" s="64"/>
      <c r="O5" s="64"/>
      <c r="P5" s="64"/>
      <c r="Q5" s="64"/>
      <c r="R5" s="64"/>
      <c r="S5" s="64"/>
      <c r="T5" s="64"/>
      <c r="U5" s="64"/>
      <c r="V5" s="64"/>
      <c r="W5" s="64"/>
      <c r="X5" s="64"/>
      <c r="Y5" s="65" t="s">
        <v>24</v>
      </c>
      <c r="Z5" s="65"/>
      <c r="AA5" s="65"/>
      <c r="AB5" s="65"/>
      <c r="AC5" s="67">
        <f>SUM(AC6:AG25)</f>
        <v>0</v>
      </c>
      <c r="AD5" s="68"/>
      <c r="AE5" s="68"/>
      <c r="AF5" s="68"/>
      <c r="AG5" s="69"/>
      <c r="AK5" s="63" t="s">
        <v>121</v>
      </c>
      <c r="AL5" s="64"/>
      <c r="AM5" s="64"/>
      <c r="AN5" s="64"/>
      <c r="AO5" s="64"/>
      <c r="AP5" s="64"/>
      <c r="AQ5" s="64"/>
      <c r="AR5" s="64"/>
      <c r="AS5" s="64"/>
      <c r="AT5" s="64"/>
      <c r="AU5" s="64"/>
      <c r="AV5" s="64"/>
      <c r="AW5" s="64"/>
      <c r="AX5" s="64"/>
      <c r="AY5" s="64"/>
      <c r="AZ5" s="64"/>
      <c r="BA5" s="64"/>
      <c r="BB5" s="64"/>
      <c r="BC5" s="64"/>
      <c r="BD5" s="64"/>
      <c r="BE5" s="64"/>
      <c r="BF5" s="64"/>
      <c r="BG5" s="64"/>
      <c r="BH5" s="65" t="s">
        <v>24</v>
      </c>
      <c r="BI5" s="65"/>
      <c r="BJ5" s="65"/>
      <c r="BK5" s="66"/>
      <c r="BL5" s="67">
        <f>SUM(BL6:BP14)</f>
        <v>0</v>
      </c>
      <c r="BM5" s="68"/>
      <c r="BN5" s="68"/>
      <c r="BO5" s="68"/>
      <c r="BP5" s="69"/>
    </row>
    <row r="6" spans="2:68">
      <c r="B6" s="96"/>
      <c r="C6" s="97"/>
      <c r="D6" s="97"/>
      <c r="E6" s="97"/>
      <c r="F6" s="98"/>
      <c r="G6" s="99" t="s">
        <v>5</v>
      </c>
      <c r="H6" s="100"/>
      <c r="I6" s="100"/>
      <c r="J6" s="100" t="s">
        <v>6</v>
      </c>
      <c r="K6" s="100"/>
      <c r="L6" s="100"/>
      <c r="M6" s="100"/>
      <c r="N6" s="100"/>
      <c r="O6" s="100"/>
      <c r="P6" s="100"/>
      <c r="Q6" s="123" t="s">
        <v>23</v>
      </c>
      <c r="R6" s="83"/>
      <c r="S6" s="83"/>
      <c r="T6" s="84"/>
      <c r="U6" s="124">
        <v>6100000</v>
      </c>
      <c r="V6" s="125"/>
      <c r="W6" s="125"/>
      <c r="X6" s="126"/>
      <c r="Y6" s="101">
        <v>0.61</v>
      </c>
      <c r="Z6" s="101"/>
      <c r="AA6" s="101"/>
      <c r="AB6" s="101"/>
      <c r="AC6" s="102">
        <f t="shared" ref="AC6:AC25" si="0">Y6*B6</f>
        <v>0</v>
      </c>
      <c r="AD6" s="102"/>
      <c r="AE6" s="102"/>
      <c r="AF6" s="102"/>
      <c r="AG6" s="103"/>
      <c r="AK6" s="70"/>
      <c r="AL6" s="71"/>
      <c r="AM6" s="71"/>
      <c r="AN6" s="71"/>
      <c r="AO6" s="72"/>
      <c r="AP6" s="73" t="s">
        <v>50</v>
      </c>
      <c r="AQ6" s="74"/>
      <c r="AR6" s="75"/>
      <c r="AS6" s="76" t="s">
        <v>123</v>
      </c>
      <c r="AT6" s="74"/>
      <c r="AU6" s="74"/>
      <c r="AV6" s="74"/>
      <c r="AW6" s="74"/>
      <c r="AX6" s="74"/>
      <c r="AY6" s="75"/>
      <c r="AZ6" s="123" t="s">
        <v>51</v>
      </c>
      <c r="BA6" s="83"/>
      <c r="BB6" s="83"/>
      <c r="BC6" s="83"/>
      <c r="BD6" s="124">
        <v>8250</v>
      </c>
      <c r="BE6" s="125"/>
      <c r="BF6" s="125"/>
      <c r="BG6" s="126"/>
      <c r="BH6" s="85">
        <v>8.25E-4</v>
      </c>
      <c r="BI6" s="86"/>
      <c r="BJ6" s="86"/>
      <c r="BK6" s="87"/>
      <c r="BL6" s="80">
        <f t="shared" ref="BL6:BL14" si="1">BH6*AK6</f>
        <v>0</v>
      </c>
      <c r="BM6" s="81"/>
      <c r="BN6" s="81"/>
      <c r="BO6" s="81"/>
      <c r="BP6" s="82"/>
    </row>
    <row r="7" spans="2:68">
      <c r="B7" s="88"/>
      <c r="C7" s="89"/>
      <c r="D7" s="89"/>
      <c r="E7" s="89"/>
      <c r="F7" s="90"/>
      <c r="G7" s="91" t="s">
        <v>5</v>
      </c>
      <c r="H7" s="92"/>
      <c r="I7" s="92"/>
      <c r="J7" s="92" t="s">
        <v>7</v>
      </c>
      <c r="K7" s="92"/>
      <c r="L7" s="92"/>
      <c r="M7" s="92"/>
      <c r="N7" s="92"/>
      <c r="O7" s="92"/>
      <c r="P7" s="92"/>
      <c r="Q7" s="127" t="s">
        <v>23</v>
      </c>
      <c r="R7" s="56"/>
      <c r="S7" s="56"/>
      <c r="T7" s="57"/>
      <c r="U7" s="104">
        <v>6900000</v>
      </c>
      <c r="V7" s="105"/>
      <c r="W7" s="105"/>
      <c r="X7" s="106"/>
      <c r="Y7" s="93">
        <v>0.69</v>
      </c>
      <c r="Z7" s="93"/>
      <c r="AA7" s="93"/>
      <c r="AB7" s="93"/>
      <c r="AC7" s="94">
        <f t="shared" si="0"/>
        <v>0</v>
      </c>
      <c r="AD7" s="94"/>
      <c r="AE7" s="94"/>
      <c r="AF7" s="94"/>
      <c r="AG7" s="95"/>
      <c r="AK7" s="15"/>
      <c r="AL7" s="16"/>
      <c r="AM7" s="16"/>
      <c r="AN7" s="16"/>
      <c r="AO7" s="17"/>
      <c r="AP7" s="18" t="s">
        <v>52</v>
      </c>
      <c r="AQ7" s="19"/>
      <c r="AR7" s="20"/>
      <c r="AS7" s="21" t="s">
        <v>53</v>
      </c>
      <c r="AT7" s="19"/>
      <c r="AU7" s="19"/>
      <c r="AV7" s="19"/>
      <c r="AW7" s="19"/>
      <c r="AX7" s="19"/>
      <c r="AY7" s="20"/>
      <c r="AZ7" s="127" t="s">
        <v>54</v>
      </c>
      <c r="BA7" s="56"/>
      <c r="BB7" s="56"/>
      <c r="BC7" s="56"/>
      <c r="BD7" s="104">
        <v>4028</v>
      </c>
      <c r="BE7" s="105"/>
      <c r="BF7" s="105"/>
      <c r="BG7" s="106"/>
      <c r="BH7" s="22">
        <v>4.0279999999999998E-4</v>
      </c>
      <c r="BI7" s="23"/>
      <c r="BJ7" s="23"/>
      <c r="BK7" s="24"/>
      <c r="BL7" s="25">
        <f t="shared" si="1"/>
        <v>0</v>
      </c>
      <c r="BM7" s="26"/>
      <c r="BN7" s="26"/>
      <c r="BO7" s="26"/>
      <c r="BP7" s="27"/>
    </row>
    <row r="8" spans="2:68">
      <c r="B8" s="88"/>
      <c r="C8" s="89"/>
      <c r="D8" s="89"/>
      <c r="E8" s="89"/>
      <c r="F8" s="90"/>
      <c r="G8" s="91" t="s">
        <v>5</v>
      </c>
      <c r="H8" s="92"/>
      <c r="I8" s="92"/>
      <c r="J8" s="92" t="s">
        <v>8</v>
      </c>
      <c r="K8" s="92"/>
      <c r="L8" s="92"/>
      <c r="M8" s="92"/>
      <c r="N8" s="92"/>
      <c r="O8" s="92"/>
      <c r="P8" s="92"/>
      <c r="Q8" s="127" t="s">
        <v>23</v>
      </c>
      <c r="R8" s="56"/>
      <c r="S8" s="56"/>
      <c r="T8" s="57"/>
      <c r="U8" s="104">
        <v>7200000</v>
      </c>
      <c r="V8" s="105"/>
      <c r="W8" s="105"/>
      <c r="X8" s="106"/>
      <c r="Y8" s="93">
        <v>0.72</v>
      </c>
      <c r="Z8" s="93"/>
      <c r="AA8" s="93"/>
      <c r="AB8" s="93"/>
      <c r="AC8" s="94">
        <f t="shared" si="0"/>
        <v>0</v>
      </c>
      <c r="AD8" s="94"/>
      <c r="AE8" s="94"/>
      <c r="AF8" s="94"/>
      <c r="AG8" s="95"/>
      <c r="AK8" s="15"/>
      <c r="AL8" s="16"/>
      <c r="AM8" s="16"/>
      <c r="AN8" s="16"/>
      <c r="AO8" s="17"/>
      <c r="AP8" s="18" t="s">
        <v>52</v>
      </c>
      <c r="AQ8" s="19"/>
      <c r="AR8" s="20"/>
      <c r="AS8" s="21" t="s">
        <v>55</v>
      </c>
      <c r="AT8" s="19"/>
      <c r="AU8" s="19"/>
      <c r="AV8" s="19"/>
      <c r="AW8" s="19"/>
      <c r="AX8" s="19"/>
      <c r="AY8" s="20"/>
      <c r="AZ8" s="127" t="s">
        <v>56</v>
      </c>
      <c r="BA8" s="56"/>
      <c r="BB8" s="56"/>
      <c r="BC8" s="57"/>
      <c r="BD8" s="104">
        <v>690</v>
      </c>
      <c r="BE8" s="105"/>
      <c r="BF8" s="105"/>
      <c r="BG8" s="106"/>
      <c r="BH8" s="22">
        <v>6.8999999999999997E-5</v>
      </c>
      <c r="BI8" s="23"/>
      <c r="BJ8" s="23"/>
      <c r="BK8" s="24"/>
      <c r="BL8" s="25">
        <f t="shared" si="1"/>
        <v>0</v>
      </c>
      <c r="BM8" s="26"/>
      <c r="BN8" s="26"/>
      <c r="BO8" s="26"/>
      <c r="BP8" s="27"/>
    </row>
    <row r="9" spans="2:68">
      <c r="B9" s="88"/>
      <c r="C9" s="89"/>
      <c r="D9" s="89"/>
      <c r="E9" s="89"/>
      <c r="F9" s="90"/>
      <c r="G9" s="91" t="s">
        <v>5</v>
      </c>
      <c r="H9" s="92"/>
      <c r="I9" s="92"/>
      <c r="J9" s="92" t="s">
        <v>9</v>
      </c>
      <c r="K9" s="92"/>
      <c r="L9" s="92"/>
      <c r="M9" s="92"/>
      <c r="N9" s="92"/>
      <c r="O9" s="92"/>
      <c r="P9" s="92"/>
      <c r="Q9" s="127" t="s">
        <v>23</v>
      </c>
      <c r="R9" s="56"/>
      <c r="S9" s="56"/>
      <c r="T9" s="57"/>
      <c r="U9" s="104">
        <v>5000000</v>
      </c>
      <c r="V9" s="105"/>
      <c r="W9" s="105"/>
      <c r="X9" s="106"/>
      <c r="Y9" s="93">
        <v>0.5</v>
      </c>
      <c r="Z9" s="93"/>
      <c r="AA9" s="93"/>
      <c r="AB9" s="93"/>
      <c r="AC9" s="94">
        <f t="shared" si="0"/>
        <v>0</v>
      </c>
      <c r="AD9" s="94"/>
      <c r="AE9" s="94"/>
      <c r="AF9" s="94"/>
      <c r="AG9" s="95"/>
      <c r="AK9" s="15"/>
      <c r="AL9" s="16"/>
      <c r="AM9" s="16"/>
      <c r="AN9" s="16"/>
      <c r="AO9" s="17"/>
      <c r="AP9" s="18" t="s">
        <v>52</v>
      </c>
      <c r="AQ9" s="19"/>
      <c r="AR9" s="20"/>
      <c r="AS9" s="21" t="s">
        <v>57</v>
      </c>
      <c r="AT9" s="19"/>
      <c r="AU9" s="19"/>
      <c r="AV9" s="19"/>
      <c r="AW9" s="19"/>
      <c r="AX9" s="19"/>
      <c r="AY9" s="20"/>
      <c r="AZ9" s="127" t="s">
        <v>58</v>
      </c>
      <c r="BA9" s="56"/>
      <c r="BB9" s="56"/>
      <c r="BC9" s="57"/>
      <c r="BD9" s="104">
        <v>1500</v>
      </c>
      <c r="BE9" s="105"/>
      <c r="BF9" s="105"/>
      <c r="BG9" s="106"/>
      <c r="BH9" s="22">
        <v>1.4999999999999999E-4</v>
      </c>
      <c r="BI9" s="23"/>
      <c r="BJ9" s="23"/>
      <c r="BK9" s="24"/>
      <c r="BL9" s="25">
        <f t="shared" si="1"/>
        <v>0</v>
      </c>
      <c r="BM9" s="26"/>
      <c r="BN9" s="26"/>
      <c r="BO9" s="26"/>
      <c r="BP9" s="27"/>
    </row>
    <row r="10" spans="2:68">
      <c r="B10" s="88"/>
      <c r="C10" s="89"/>
      <c r="D10" s="89"/>
      <c r="E10" s="89"/>
      <c r="F10" s="90"/>
      <c r="G10" s="91" t="s">
        <v>5</v>
      </c>
      <c r="H10" s="92"/>
      <c r="I10" s="92"/>
      <c r="J10" s="92" t="s">
        <v>12</v>
      </c>
      <c r="K10" s="92"/>
      <c r="L10" s="92"/>
      <c r="M10" s="92"/>
      <c r="N10" s="92"/>
      <c r="O10" s="92"/>
      <c r="P10" s="92"/>
      <c r="Q10" s="127" t="s">
        <v>23</v>
      </c>
      <c r="R10" s="56"/>
      <c r="S10" s="56"/>
      <c r="T10" s="57"/>
      <c r="U10" s="104">
        <v>3000000</v>
      </c>
      <c r="V10" s="105"/>
      <c r="W10" s="105"/>
      <c r="X10" s="106"/>
      <c r="Y10" s="93">
        <v>0.3</v>
      </c>
      <c r="Z10" s="93"/>
      <c r="AA10" s="93"/>
      <c r="AB10" s="93"/>
      <c r="AC10" s="94">
        <f t="shared" si="0"/>
        <v>0</v>
      </c>
      <c r="AD10" s="94"/>
      <c r="AE10" s="94"/>
      <c r="AF10" s="94"/>
      <c r="AG10" s="95"/>
      <c r="AK10" s="15"/>
      <c r="AL10" s="16"/>
      <c r="AM10" s="16"/>
      <c r="AN10" s="16"/>
      <c r="AO10" s="17"/>
      <c r="AP10" s="18" t="s">
        <v>52</v>
      </c>
      <c r="AQ10" s="19"/>
      <c r="AR10" s="20"/>
      <c r="AS10" s="21" t="s">
        <v>59</v>
      </c>
      <c r="AT10" s="19"/>
      <c r="AU10" s="19"/>
      <c r="AV10" s="19"/>
      <c r="AW10" s="19"/>
      <c r="AX10" s="19"/>
      <c r="AY10" s="20"/>
      <c r="AZ10" s="127" t="s">
        <v>60</v>
      </c>
      <c r="BA10" s="56"/>
      <c r="BB10" s="56"/>
      <c r="BC10" s="57"/>
      <c r="BD10" s="104">
        <v>8783</v>
      </c>
      <c r="BE10" s="105"/>
      <c r="BF10" s="105"/>
      <c r="BG10" s="106"/>
      <c r="BH10" s="22">
        <v>8.7830000000000004E-4</v>
      </c>
      <c r="BI10" s="23"/>
      <c r="BJ10" s="23"/>
      <c r="BK10" s="24"/>
      <c r="BL10" s="25">
        <f t="shared" si="1"/>
        <v>0</v>
      </c>
      <c r="BM10" s="26"/>
      <c r="BN10" s="26"/>
      <c r="BO10" s="26"/>
      <c r="BP10" s="27"/>
    </row>
    <row r="11" spans="2:68">
      <c r="B11" s="88"/>
      <c r="C11" s="89"/>
      <c r="D11" s="89"/>
      <c r="E11" s="89"/>
      <c r="F11" s="90"/>
      <c r="G11" s="91" t="s">
        <v>5</v>
      </c>
      <c r="H11" s="92"/>
      <c r="I11" s="92"/>
      <c r="J11" s="92" t="s">
        <v>11</v>
      </c>
      <c r="K11" s="92"/>
      <c r="L11" s="92"/>
      <c r="M11" s="92"/>
      <c r="N11" s="92"/>
      <c r="O11" s="92"/>
      <c r="P11" s="92"/>
      <c r="Q11" s="127" t="s">
        <v>23</v>
      </c>
      <c r="R11" s="56"/>
      <c r="S11" s="56"/>
      <c r="T11" s="57"/>
      <c r="U11" s="104">
        <v>2000000</v>
      </c>
      <c r="V11" s="105"/>
      <c r="W11" s="105"/>
      <c r="X11" s="106"/>
      <c r="Y11" s="93">
        <v>0.2</v>
      </c>
      <c r="Z11" s="93"/>
      <c r="AA11" s="93"/>
      <c r="AB11" s="93"/>
      <c r="AC11" s="94">
        <f t="shared" si="0"/>
        <v>0</v>
      </c>
      <c r="AD11" s="94"/>
      <c r="AE11" s="94"/>
      <c r="AF11" s="94"/>
      <c r="AG11" s="95"/>
      <c r="AK11" s="15"/>
      <c r="AL11" s="16"/>
      <c r="AM11" s="16"/>
      <c r="AN11" s="16"/>
      <c r="AO11" s="17"/>
      <c r="AP11" s="18" t="s">
        <v>52</v>
      </c>
      <c r="AQ11" s="19"/>
      <c r="AR11" s="20"/>
      <c r="AS11" s="21" t="s">
        <v>61</v>
      </c>
      <c r="AT11" s="19"/>
      <c r="AU11" s="19"/>
      <c r="AV11" s="19"/>
      <c r="AW11" s="19"/>
      <c r="AX11" s="19"/>
      <c r="AY11" s="20"/>
      <c r="AZ11" s="127" t="s">
        <v>64</v>
      </c>
      <c r="BA11" s="56"/>
      <c r="BB11" s="56"/>
      <c r="BC11" s="57"/>
      <c r="BD11" s="104">
        <v>14230</v>
      </c>
      <c r="BE11" s="105"/>
      <c r="BF11" s="105"/>
      <c r="BG11" s="106"/>
      <c r="BH11" s="22">
        <v>1.423E-3</v>
      </c>
      <c r="BI11" s="23"/>
      <c r="BJ11" s="23"/>
      <c r="BK11" s="24"/>
      <c r="BL11" s="25">
        <f t="shared" si="1"/>
        <v>0</v>
      </c>
      <c r="BM11" s="26"/>
      <c r="BN11" s="26"/>
      <c r="BO11" s="26"/>
      <c r="BP11" s="27"/>
    </row>
    <row r="12" spans="2:68">
      <c r="B12" s="88"/>
      <c r="C12" s="89"/>
      <c r="D12" s="89"/>
      <c r="E12" s="89"/>
      <c r="F12" s="90"/>
      <c r="G12" s="91" t="s">
        <v>5</v>
      </c>
      <c r="H12" s="92"/>
      <c r="I12" s="92"/>
      <c r="J12" s="92" t="s">
        <v>10</v>
      </c>
      <c r="K12" s="92"/>
      <c r="L12" s="92"/>
      <c r="M12" s="92"/>
      <c r="N12" s="92"/>
      <c r="O12" s="92"/>
      <c r="P12" s="92"/>
      <c r="Q12" s="127" t="s">
        <v>23</v>
      </c>
      <c r="R12" s="56"/>
      <c r="S12" s="56"/>
      <c r="T12" s="57"/>
      <c r="U12" s="104">
        <v>1100000</v>
      </c>
      <c r="V12" s="105"/>
      <c r="W12" s="105"/>
      <c r="X12" s="106"/>
      <c r="Y12" s="93">
        <v>0.11</v>
      </c>
      <c r="Z12" s="93"/>
      <c r="AA12" s="93"/>
      <c r="AB12" s="93"/>
      <c r="AC12" s="94">
        <f t="shared" si="0"/>
        <v>0</v>
      </c>
      <c r="AD12" s="94"/>
      <c r="AE12" s="94"/>
      <c r="AF12" s="94"/>
      <c r="AG12" s="95"/>
      <c r="AK12" s="15"/>
      <c r="AL12" s="16"/>
      <c r="AM12" s="16"/>
      <c r="AN12" s="16"/>
      <c r="AO12" s="17"/>
      <c r="AP12" s="18" t="s">
        <v>52</v>
      </c>
      <c r="AQ12" s="19"/>
      <c r="AR12" s="20"/>
      <c r="AS12" s="21" t="s">
        <v>62</v>
      </c>
      <c r="AT12" s="19"/>
      <c r="AU12" s="19"/>
      <c r="AV12" s="19"/>
      <c r="AW12" s="19"/>
      <c r="AX12" s="19"/>
      <c r="AY12" s="20"/>
      <c r="AZ12" s="127" t="s">
        <v>65</v>
      </c>
      <c r="BA12" s="56"/>
      <c r="BB12" s="56"/>
      <c r="BC12" s="57"/>
      <c r="BD12" s="104">
        <v>21200</v>
      </c>
      <c r="BE12" s="105"/>
      <c r="BF12" s="105"/>
      <c r="BG12" s="106"/>
      <c r="BH12" s="22">
        <v>2.1199999999999999E-3</v>
      </c>
      <c r="BI12" s="23"/>
      <c r="BJ12" s="23"/>
      <c r="BK12" s="24"/>
      <c r="BL12" s="25">
        <f t="shared" si="1"/>
        <v>0</v>
      </c>
      <c r="BM12" s="26"/>
      <c r="BN12" s="26"/>
      <c r="BO12" s="26"/>
      <c r="BP12" s="27"/>
    </row>
    <row r="13" spans="2:68">
      <c r="B13" s="88"/>
      <c r="C13" s="89"/>
      <c r="D13" s="89"/>
      <c r="E13" s="89"/>
      <c r="F13" s="90"/>
      <c r="G13" s="91" t="s">
        <v>5</v>
      </c>
      <c r="H13" s="92"/>
      <c r="I13" s="92"/>
      <c r="J13" s="92" t="s">
        <v>13</v>
      </c>
      <c r="K13" s="92"/>
      <c r="L13" s="92"/>
      <c r="M13" s="92"/>
      <c r="N13" s="92"/>
      <c r="O13" s="92"/>
      <c r="P13" s="92"/>
      <c r="Q13" s="127" t="s">
        <v>23</v>
      </c>
      <c r="R13" s="56"/>
      <c r="S13" s="56"/>
      <c r="T13" s="57"/>
      <c r="U13" s="104">
        <v>7600000</v>
      </c>
      <c r="V13" s="105"/>
      <c r="W13" s="105"/>
      <c r="X13" s="106"/>
      <c r="Y13" s="93">
        <v>0.76</v>
      </c>
      <c r="Z13" s="93"/>
      <c r="AA13" s="93"/>
      <c r="AB13" s="93"/>
      <c r="AC13" s="94">
        <f t="shared" si="0"/>
        <v>0</v>
      </c>
      <c r="AD13" s="94"/>
      <c r="AE13" s="94"/>
      <c r="AF13" s="94"/>
      <c r="AG13" s="95"/>
      <c r="AK13" s="15"/>
      <c r="AL13" s="16"/>
      <c r="AM13" s="16"/>
      <c r="AN13" s="16"/>
      <c r="AO13" s="17"/>
      <c r="AP13" s="18" t="s">
        <v>52</v>
      </c>
      <c r="AQ13" s="19"/>
      <c r="AR13" s="20"/>
      <c r="AS13" s="21" t="s">
        <v>63</v>
      </c>
      <c r="AT13" s="19"/>
      <c r="AU13" s="19"/>
      <c r="AV13" s="19"/>
      <c r="AW13" s="19"/>
      <c r="AX13" s="19"/>
      <c r="AY13" s="20"/>
      <c r="AZ13" s="127" t="s">
        <v>68</v>
      </c>
      <c r="BA13" s="56"/>
      <c r="BB13" s="56"/>
      <c r="BC13" s="57"/>
      <c r="BD13" s="104">
        <v>26000</v>
      </c>
      <c r="BE13" s="105"/>
      <c r="BF13" s="105"/>
      <c r="BG13" s="106"/>
      <c r="BH13" s="22">
        <v>2.5999999999999999E-3</v>
      </c>
      <c r="BI13" s="23"/>
      <c r="BJ13" s="23"/>
      <c r="BK13" s="24"/>
      <c r="BL13" s="25">
        <f t="shared" si="1"/>
        <v>0</v>
      </c>
      <c r="BM13" s="26"/>
      <c r="BN13" s="26"/>
      <c r="BO13" s="26"/>
      <c r="BP13" s="27"/>
    </row>
    <row r="14" spans="2:68" ht="15.75" thickBot="1">
      <c r="B14" s="88"/>
      <c r="C14" s="89"/>
      <c r="D14" s="89"/>
      <c r="E14" s="89"/>
      <c r="F14" s="90"/>
      <c r="G14" s="91" t="s">
        <v>5</v>
      </c>
      <c r="H14" s="92"/>
      <c r="I14" s="92"/>
      <c r="J14" s="92" t="s">
        <v>14</v>
      </c>
      <c r="K14" s="92"/>
      <c r="L14" s="92"/>
      <c r="M14" s="92"/>
      <c r="N14" s="92"/>
      <c r="O14" s="92"/>
      <c r="P14" s="92"/>
      <c r="Q14" s="127" t="s">
        <v>23</v>
      </c>
      <c r="R14" s="56"/>
      <c r="S14" s="56"/>
      <c r="T14" s="57"/>
      <c r="U14" s="104">
        <v>4300000</v>
      </c>
      <c r="V14" s="105"/>
      <c r="W14" s="105"/>
      <c r="X14" s="106"/>
      <c r="Y14" s="93">
        <v>0.43</v>
      </c>
      <c r="Z14" s="93"/>
      <c r="AA14" s="93"/>
      <c r="AB14" s="93"/>
      <c r="AC14" s="94">
        <f t="shared" si="0"/>
        <v>0</v>
      </c>
      <c r="AD14" s="94"/>
      <c r="AE14" s="94"/>
      <c r="AF14" s="94"/>
      <c r="AG14" s="95"/>
      <c r="AK14" s="43"/>
      <c r="AL14" s="44"/>
      <c r="AM14" s="44"/>
      <c r="AN14" s="44"/>
      <c r="AO14" s="45"/>
      <c r="AP14" s="46" t="s">
        <v>52</v>
      </c>
      <c r="AQ14" s="47"/>
      <c r="AR14" s="48"/>
      <c r="AS14" s="49" t="s">
        <v>66</v>
      </c>
      <c r="AT14" s="47"/>
      <c r="AU14" s="47"/>
      <c r="AV14" s="47"/>
      <c r="AW14" s="47"/>
      <c r="AX14" s="47"/>
      <c r="AY14" s="48"/>
      <c r="AZ14" s="131" t="s">
        <v>67</v>
      </c>
      <c r="BA14" s="58"/>
      <c r="BB14" s="58"/>
      <c r="BC14" s="59"/>
      <c r="BD14" s="128">
        <v>8660</v>
      </c>
      <c r="BE14" s="129"/>
      <c r="BF14" s="129"/>
      <c r="BG14" s="130"/>
      <c r="BH14" s="60">
        <v>8.6600000000000002E-4</v>
      </c>
      <c r="BI14" s="61"/>
      <c r="BJ14" s="61"/>
      <c r="BK14" s="62"/>
      <c r="BL14" s="53">
        <f t="shared" si="1"/>
        <v>0</v>
      </c>
      <c r="BM14" s="54"/>
      <c r="BN14" s="54"/>
      <c r="BO14" s="54"/>
      <c r="BP14" s="55"/>
    </row>
    <row r="15" spans="2:68" ht="15.75" thickBot="1">
      <c r="B15" s="88"/>
      <c r="C15" s="89"/>
      <c r="D15" s="89"/>
      <c r="E15" s="89"/>
      <c r="F15" s="90"/>
      <c r="G15" s="91" t="s">
        <v>5</v>
      </c>
      <c r="H15" s="92"/>
      <c r="I15" s="92"/>
      <c r="J15" s="92" t="s">
        <v>15</v>
      </c>
      <c r="K15" s="92"/>
      <c r="L15" s="92"/>
      <c r="M15" s="92"/>
      <c r="N15" s="92"/>
      <c r="O15" s="92"/>
      <c r="P15" s="92"/>
      <c r="Q15" s="127" t="s">
        <v>23</v>
      </c>
      <c r="R15" s="56"/>
      <c r="S15" s="56"/>
      <c r="T15" s="57"/>
      <c r="U15" s="104">
        <v>3000000</v>
      </c>
      <c r="V15" s="105"/>
      <c r="W15" s="105"/>
      <c r="X15" s="106"/>
      <c r="Y15" s="93">
        <v>0.3</v>
      </c>
      <c r="Z15" s="93"/>
      <c r="AA15" s="93"/>
      <c r="AB15" s="93"/>
      <c r="AC15" s="94">
        <f t="shared" si="0"/>
        <v>0</v>
      </c>
      <c r="AD15" s="94"/>
      <c r="AE15" s="94"/>
      <c r="AF15" s="94"/>
      <c r="AG15" s="95"/>
      <c r="AK15" s="63" t="s">
        <v>78</v>
      </c>
      <c r="AL15" s="64"/>
      <c r="AM15" s="64"/>
      <c r="AN15" s="64"/>
      <c r="AO15" s="64"/>
      <c r="AP15" s="64"/>
      <c r="AQ15" s="64"/>
      <c r="AR15" s="64"/>
      <c r="AS15" s="64"/>
      <c r="AT15" s="64"/>
      <c r="AU15" s="64"/>
      <c r="AV15" s="64"/>
      <c r="AW15" s="64"/>
      <c r="AX15" s="64"/>
      <c r="AY15" s="64"/>
      <c r="AZ15" s="64"/>
      <c r="BA15" s="64"/>
      <c r="BB15" s="64"/>
      <c r="BC15" s="64"/>
      <c r="BD15" s="64"/>
      <c r="BE15" s="64"/>
      <c r="BF15" s="64"/>
      <c r="BG15" s="64"/>
      <c r="BH15" s="65" t="s">
        <v>24</v>
      </c>
      <c r="BI15" s="65"/>
      <c r="BJ15" s="65"/>
      <c r="BK15" s="66"/>
      <c r="BL15" s="67">
        <f>SUM(BL16:BP21)</f>
        <v>0</v>
      </c>
      <c r="BM15" s="68"/>
      <c r="BN15" s="68"/>
      <c r="BO15" s="68"/>
      <c r="BP15" s="69"/>
    </row>
    <row r="16" spans="2:68">
      <c r="B16" s="88"/>
      <c r="C16" s="89"/>
      <c r="D16" s="89"/>
      <c r="E16" s="89"/>
      <c r="F16" s="90"/>
      <c r="G16" s="91" t="s">
        <v>5</v>
      </c>
      <c r="H16" s="92"/>
      <c r="I16" s="92"/>
      <c r="J16" s="92" t="s">
        <v>16</v>
      </c>
      <c r="K16" s="92"/>
      <c r="L16" s="92"/>
      <c r="M16" s="92"/>
      <c r="N16" s="92"/>
      <c r="O16" s="92"/>
      <c r="P16" s="92"/>
      <c r="Q16" s="127" t="s">
        <v>23</v>
      </c>
      <c r="R16" s="56"/>
      <c r="S16" s="56"/>
      <c r="T16" s="57"/>
      <c r="U16" s="104">
        <v>2250000</v>
      </c>
      <c r="V16" s="105"/>
      <c r="W16" s="105"/>
      <c r="X16" s="106"/>
      <c r="Y16" s="93">
        <v>0.22500000000000001</v>
      </c>
      <c r="Z16" s="93"/>
      <c r="AA16" s="93"/>
      <c r="AB16" s="93"/>
      <c r="AC16" s="94">
        <f t="shared" si="0"/>
        <v>0</v>
      </c>
      <c r="AD16" s="94"/>
      <c r="AE16" s="94"/>
      <c r="AF16" s="94"/>
      <c r="AG16" s="95"/>
      <c r="AK16" s="70"/>
      <c r="AL16" s="71"/>
      <c r="AM16" s="71"/>
      <c r="AN16" s="71"/>
      <c r="AO16" s="72"/>
      <c r="AP16" s="73" t="s">
        <v>74</v>
      </c>
      <c r="AQ16" s="74"/>
      <c r="AR16" s="75"/>
      <c r="AS16" s="76" t="s">
        <v>72</v>
      </c>
      <c r="AT16" s="74"/>
      <c r="AU16" s="74"/>
      <c r="AV16" s="74"/>
      <c r="AW16" s="74"/>
      <c r="AX16" s="74"/>
      <c r="AY16" s="75"/>
      <c r="AZ16" s="123" t="s">
        <v>23</v>
      </c>
      <c r="BA16" s="83"/>
      <c r="BB16" s="83"/>
      <c r="BC16" s="84"/>
      <c r="BD16" s="123">
        <v>860</v>
      </c>
      <c r="BE16" s="83"/>
      <c r="BF16" s="83"/>
      <c r="BG16" s="84"/>
      <c r="BH16" s="85">
        <v>8.6000000000000003E-5</v>
      </c>
      <c r="BI16" s="86"/>
      <c r="BJ16" s="86"/>
      <c r="BK16" s="87"/>
      <c r="BL16" s="80">
        <f t="shared" ref="BL16:BL21" si="2">BH16*AK16</f>
        <v>0</v>
      </c>
      <c r="BM16" s="81"/>
      <c r="BN16" s="81"/>
      <c r="BO16" s="81"/>
      <c r="BP16" s="82"/>
    </row>
    <row r="17" spans="2:71">
      <c r="B17" s="88"/>
      <c r="C17" s="89"/>
      <c r="D17" s="89"/>
      <c r="E17" s="89"/>
      <c r="F17" s="90"/>
      <c r="G17" s="91" t="s">
        <v>5</v>
      </c>
      <c r="H17" s="92"/>
      <c r="I17" s="92"/>
      <c r="J17" s="92" t="s">
        <v>17</v>
      </c>
      <c r="K17" s="92"/>
      <c r="L17" s="92"/>
      <c r="M17" s="92"/>
      <c r="N17" s="92"/>
      <c r="O17" s="92"/>
      <c r="P17" s="92"/>
      <c r="Q17" s="127" t="s">
        <v>23</v>
      </c>
      <c r="R17" s="56"/>
      <c r="S17" s="56"/>
      <c r="T17" s="57"/>
      <c r="U17" s="104">
        <v>8000000</v>
      </c>
      <c r="V17" s="105"/>
      <c r="W17" s="105"/>
      <c r="X17" s="106"/>
      <c r="Y17" s="93">
        <v>0.8</v>
      </c>
      <c r="Z17" s="93"/>
      <c r="AA17" s="93"/>
      <c r="AB17" s="93"/>
      <c r="AC17" s="94">
        <f t="shared" si="0"/>
        <v>0</v>
      </c>
      <c r="AD17" s="94"/>
      <c r="AE17" s="94"/>
      <c r="AF17" s="94"/>
      <c r="AG17" s="95"/>
      <c r="AK17" s="15"/>
      <c r="AL17" s="16"/>
      <c r="AM17" s="16"/>
      <c r="AN17" s="16"/>
      <c r="AO17" s="17"/>
      <c r="AP17" s="18" t="s">
        <v>74</v>
      </c>
      <c r="AQ17" s="19"/>
      <c r="AR17" s="20"/>
      <c r="AS17" s="21" t="s">
        <v>69</v>
      </c>
      <c r="AT17" s="19"/>
      <c r="AU17" s="19"/>
      <c r="AV17" s="19"/>
      <c r="AW17" s="19"/>
      <c r="AX17" s="19"/>
      <c r="AY17" s="20"/>
      <c r="AZ17" s="127" t="s">
        <v>23</v>
      </c>
      <c r="BA17" s="56"/>
      <c r="BB17" s="56"/>
      <c r="BC17" s="57"/>
      <c r="BD17" s="127">
        <v>860</v>
      </c>
      <c r="BE17" s="56"/>
      <c r="BF17" s="56"/>
      <c r="BG17" s="57"/>
      <c r="BH17" s="22">
        <v>8.6000000000000003E-5</v>
      </c>
      <c r="BI17" s="23"/>
      <c r="BJ17" s="23"/>
      <c r="BK17" s="24"/>
      <c r="BL17" s="25">
        <f t="shared" si="2"/>
        <v>0</v>
      </c>
      <c r="BM17" s="26"/>
      <c r="BN17" s="26"/>
      <c r="BO17" s="26"/>
      <c r="BP17" s="27"/>
    </row>
    <row r="18" spans="2:71">
      <c r="B18" s="88"/>
      <c r="C18" s="89"/>
      <c r="D18" s="89"/>
      <c r="E18" s="89"/>
      <c r="F18" s="90"/>
      <c r="G18" s="91" t="s">
        <v>5</v>
      </c>
      <c r="H18" s="92"/>
      <c r="I18" s="92"/>
      <c r="J18" s="92" t="s">
        <v>18</v>
      </c>
      <c r="K18" s="92"/>
      <c r="L18" s="92"/>
      <c r="M18" s="92"/>
      <c r="N18" s="92"/>
      <c r="O18" s="92"/>
      <c r="P18" s="92"/>
      <c r="Q18" s="127" t="s">
        <v>23</v>
      </c>
      <c r="R18" s="56"/>
      <c r="S18" s="56"/>
      <c r="T18" s="57"/>
      <c r="U18" s="104">
        <v>6000000</v>
      </c>
      <c r="V18" s="105"/>
      <c r="W18" s="105"/>
      <c r="X18" s="106"/>
      <c r="Y18" s="93">
        <v>0.6</v>
      </c>
      <c r="Z18" s="93"/>
      <c r="AA18" s="93"/>
      <c r="AB18" s="93"/>
      <c r="AC18" s="94">
        <f t="shared" si="0"/>
        <v>0</v>
      </c>
      <c r="AD18" s="94"/>
      <c r="AE18" s="94"/>
      <c r="AF18" s="94"/>
      <c r="AG18" s="95"/>
      <c r="AK18" s="15"/>
      <c r="AL18" s="16"/>
      <c r="AM18" s="16"/>
      <c r="AN18" s="16"/>
      <c r="AO18" s="17"/>
      <c r="AP18" s="18" t="s">
        <v>74</v>
      </c>
      <c r="AQ18" s="19"/>
      <c r="AR18" s="20"/>
      <c r="AS18" s="21" t="s">
        <v>76</v>
      </c>
      <c r="AT18" s="19"/>
      <c r="AU18" s="19"/>
      <c r="AV18" s="19"/>
      <c r="AW18" s="19"/>
      <c r="AX18" s="19"/>
      <c r="AY18" s="20"/>
      <c r="AZ18" s="127" t="s">
        <v>23</v>
      </c>
      <c r="BA18" s="56"/>
      <c r="BB18" s="56"/>
      <c r="BC18" s="57"/>
      <c r="BD18" s="127">
        <v>860</v>
      </c>
      <c r="BE18" s="56"/>
      <c r="BF18" s="56"/>
      <c r="BG18" s="57"/>
      <c r="BH18" s="22">
        <v>8.6000000000000003E-5</v>
      </c>
      <c r="BI18" s="23"/>
      <c r="BJ18" s="23"/>
      <c r="BK18" s="24"/>
      <c r="BL18" s="25">
        <f t="shared" si="2"/>
        <v>0</v>
      </c>
      <c r="BM18" s="26"/>
      <c r="BN18" s="26"/>
      <c r="BO18" s="26"/>
      <c r="BP18" s="27"/>
    </row>
    <row r="19" spans="2:71">
      <c r="B19" s="88"/>
      <c r="C19" s="89"/>
      <c r="D19" s="89"/>
      <c r="E19" s="89"/>
      <c r="F19" s="90"/>
      <c r="G19" s="91" t="s">
        <v>5</v>
      </c>
      <c r="H19" s="92"/>
      <c r="I19" s="92"/>
      <c r="J19" s="92" t="s">
        <v>19</v>
      </c>
      <c r="K19" s="92"/>
      <c r="L19" s="92"/>
      <c r="M19" s="92"/>
      <c r="N19" s="92"/>
      <c r="O19" s="92"/>
      <c r="P19" s="92"/>
      <c r="Q19" s="127" t="s">
        <v>23</v>
      </c>
      <c r="R19" s="56"/>
      <c r="S19" s="56"/>
      <c r="T19" s="57"/>
      <c r="U19" s="104">
        <v>5500000</v>
      </c>
      <c r="V19" s="105"/>
      <c r="W19" s="105"/>
      <c r="X19" s="106"/>
      <c r="Y19" s="93">
        <v>0.55000000000000004</v>
      </c>
      <c r="Z19" s="93"/>
      <c r="AA19" s="93"/>
      <c r="AB19" s="93"/>
      <c r="AC19" s="94">
        <f t="shared" si="0"/>
        <v>0</v>
      </c>
      <c r="AD19" s="94"/>
      <c r="AE19" s="94"/>
      <c r="AF19" s="94"/>
      <c r="AG19" s="95"/>
      <c r="AK19" s="15"/>
      <c r="AL19" s="16"/>
      <c r="AM19" s="16"/>
      <c r="AN19" s="16"/>
      <c r="AO19" s="17"/>
      <c r="AP19" s="18" t="s">
        <v>74</v>
      </c>
      <c r="AQ19" s="19"/>
      <c r="AR19" s="20"/>
      <c r="AS19" s="21" t="s">
        <v>70</v>
      </c>
      <c r="AT19" s="19"/>
      <c r="AU19" s="19"/>
      <c r="AV19" s="19"/>
      <c r="AW19" s="19"/>
      <c r="AX19" s="19"/>
      <c r="AY19" s="20"/>
      <c r="AZ19" s="127" t="s">
        <v>23</v>
      </c>
      <c r="BA19" s="56"/>
      <c r="BB19" s="56"/>
      <c r="BC19" s="57"/>
      <c r="BD19" s="127">
        <v>860</v>
      </c>
      <c r="BE19" s="56"/>
      <c r="BF19" s="56"/>
      <c r="BG19" s="57"/>
      <c r="BH19" s="22">
        <v>8.6000000000000003E-5</v>
      </c>
      <c r="BI19" s="23"/>
      <c r="BJ19" s="23"/>
      <c r="BK19" s="24"/>
      <c r="BL19" s="25">
        <f t="shared" si="2"/>
        <v>0</v>
      </c>
      <c r="BM19" s="26"/>
      <c r="BN19" s="26"/>
      <c r="BO19" s="26"/>
      <c r="BP19" s="27"/>
    </row>
    <row r="20" spans="2:71">
      <c r="B20" s="88"/>
      <c r="C20" s="89"/>
      <c r="D20" s="89"/>
      <c r="E20" s="89"/>
      <c r="F20" s="90"/>
      <c r="G20" s="91" t="s">
        <v>5</v>
      </c>
      <c r="H20" s="92"/>
      <c r="I20" s="92"/>
      <c r="J20" s="92" t="s">
        <v>20</v>
      </c>
      <c r="K20" s="92"/>
      <c r="L20" s="92"/>
      <c r="M20" s="92"/>
      <c r="N20" s="92"/>
      <c r="O20" s="92"/>
      <c r="P20" s="92"/>
      <c r="Q20" s="127" t="s">
        <v>23</v>
      </c>
      <c r="R20" s="56"/>
      <c r="S20" s="56"/>
      <c r="T20" s="57"/>
      <c r="U20" s="104">
        <v>4300000</v>
      </c>
      <c r="V20" s="105"/>
      <c r="W20" s="105"/>
      <c r="X20" s="106"/>
      <c r="Y20" s="93">
        <v>0.43</v>
      </c>
      <c r="Z20" s="93"/>
      <c r="AA20" s="93"/>
      <c r="AB20" s="93"/>
      <c r="AC20" s="94">
        <f t="shared" si="0"/>
        <v>0</v>
      </c>
      <c r="AD20" s="94"/>
      <c r="AE20" s="94"/>
      <c r="AF20" s="94"/>
      <c r="AG20" s="95"/>
      <c r="AK20" s="15"/>
      <c r="AL20" s="16"/>
      <c r="AM20" s="16"/>
      <c r="AN20" s="16"/>
      <c r="AO20" s="17"/>
      <c r="AP20" s="18" t="s">
        <v>74</v>
      </c>
      <c r="AQ20" s="19"/>
      <c r="AR20" s="20"/>
      <c r="AS20" s="21" t="s">
        <v>71</v>
      </c>
      <c r="AT20" s="19"/>
      <c r="AU20" s="19"/>
      <c r="AV20" s="19"/>
      <c r="AW20" s="19"/>
      <c r="AX20" s="19"/>
      <c r="AY20" s="20"/>
      <c r="AZ20" s="127" t="s">
        <v>23</v>
      </c>
      <c r="BA20" s="56"/>
      <c r="BB20" s="56"/>
      <c r="BC20" s="57"/>
      <c r="BD20" s="127">
        <v>860</v>
      </c>
      <c r="BE20" s="56"/>
      <c r="BF20" s="56"/>
      <c r="BG20" s="57"/>
      <c r="BH20" s="22">
        <v>8.6000000000000003E-5</v>
      </c>
      <c r="BI20" s="23"/>
      <c r="BJ20" s="23"/>
      <c r="BK20" s="24"/>
      <c r="BL20" s="25">
        <f t="shared" si="2"/>
        <v>0</v>
      </c>
      <c r="BM20" s="26"/>
      <c r="BN20" s="26"/>
      <c r="BO20" s="26"/>
      <c r="BP20" s="27"/>
    </row>
    <row r="21" spans="2:71" ht="15.75" thickBot="1">
      <c r="B21" s="88"/>
      <c r="C21" s="89"/>
      <c r="D21" s="89"/>
      <c r="E21" s="89"/>
      <c r="F21" s="90"/>
      <c r="G21" s="91" t="s">
        <v>5</v>
      </c>
      <c r="H21" s="92"/>
      <c r="I21" s="92"/>
      <c r="J21" s="92" t="s">
        <v>21</v>
      </c>
      <c r="K21" s="92"/>
      <c r="L21" s="92"/>
      <c r="M21" s="92"/>
      <c r="N21" s="92"/>
      <c r="O21" s="92"/>
      <c r="P21" s="92"/>
      <c r="Q21" s="127" t="s">
        <v>23</v>
      </c>
      <c r="R21" s="56"/>
      <c r="S21" s="56"/>
      <c r="T21" s="57"/>
      <c r="U21" s="104">
        <v>3000000</v>
      </c>
      <c r="V21" s="105"/>
      <c r="W21" s="105"/>
      <c r="X21" s="106"/>
      <c r="Y21" s="93">
        <v>0.3</v>
      </c>
      <c r="Z21" s="93"/>
      <c r="AA21" s="93"/>
      <c r="AB21" s="93"/>
      <c r="AC21" s="94">
        <f t="shared" si="0"/>
        <v>0</v>
      </c>
      <c r="AD21" s="94"/>
      <c r="AE21" s="94"/>
      <c r="AF21" s="94"/>
      <c r="AG21" s="95"/>
      <c r="AK21" s="43"/>
      <c r="AL21" s="44"/>
      <c r="AM21" s="44"/>
      <c r="AN21" s="44"/>
      <c r="AO21" s="45"/>
      <c r="AP21" s="46" t="s">
        <v>74</v>
      </c>
      <c r="AQ21" s="47"/>
      <c r="AR21" s="48"/>
      <c r="AS21" s="49" t="s">
        <v>73</v>
      </c>
      <c r="AT21" s="47"/>
      <c r="AU21" s="47"/>
      <c r="AV21" s="47"/>
      <c r="AW21" s="47"/>
      <c r="AX21" s="47"/>
      <c r="AY21" s="48"/>
      <c r="AZ21" s="131" t="s">
        <v>23</v>
      </c>
      <c r="BA21" s="58"/>
      <c r="BB21" s="58"/>
      <c r="BC21" s="59"/>
      <c r="BD21" s="131">
        <v>860</v>
      </c>
      <c r="BE21" s="58"/>
      <c r="BF21" s="58"/>
      <c r="BG21" s="59"/>
      <c r="BH21" s="60">
        <v>8.6000000000000003E-5</v>
      </c>
      <c r="BI21" s="61"/>
      <c r="BJ21" s="61"/>
      <c r="BK21" s="62"/>
      <c r="BL21" s="53">
        <f t="shared" si="2"/>
        <v>0</v>
      </c>
      <c r="BM21" s="54"/>
      <c r="BN21" s="54"/>
      <c r="BO21" s="54"/>
      <c r="BP21" s="55"/>
    </row>
    <row r="22" spans="2:71" ht="15.75" thickBot="1">
      <c r="B22" s="88"/>
      <c r="C22" s="89"/>
      <c r="D22" s="89"/>
      <c r="E22" s="89"/>
      <c r="F22" s="90"/>
      <c r="G22" s="91" t="s">
        <v>5</v>
      </c>
      <c r="H22" s="92"/>
      <c r="I22" s="92"/>
      <c r="J22" s="92" t="s">
        <v>22</v>
      </c>
      <c r="K22" s="92"/>
      <c r="L22" s="92"/>
      <c r="M22" s="92"/>
      <c r="N22" s="92"/>
      <c r="O22" s="92"/>
      <c r="P22" s="92"/>
      <c r="Q22" s="127" t="s">
        <v>23</v>
      </c>
      <c r="R22" s="56"/>
      <c r="S22" s="56"/>
      <c r="T22" s="57"/>
      <c r="U22" s="104">
        <v>2300000</v>
      </c>
      <c r="V22" s="105"/>
      <c r="W22" s="105"/>
      <c r="X22" s="106"/>
      <c r="Y22" s="93">
        <v>0.23</v>
      </c>
      <c r="Z22" s="93"/>
      <c r="AA22" s="93"/>
      <c r="AB22" s="93"/>
      <c r="AC22" s="94">
        <f t="shared" si="0"/>
        <v>0</v>
      </c>
      <c r="AD22" s="94"/>
      <c r="AE22" s="94"/>
      <c r="AF22" s="94"/>
      <c r="AG22" s="95"/>
      <c r="AK22" s="63" t="s">
        <v>103</v>
      </c>
      <c r="AL22" s="64"/>
      <c r="AM22" s="64"/>
      <c r="AN22" s="64"/>
      <c r="AO22" s="64"/>
      <c r="AP22" s="64"/>
      <c r="AQ22" s="64"/>
      <c r="AR22" s="64"/>
      <c r="AS22" s="64"/>
      <c r="AT22" s="64"/>
      <c r="AU22" s="64"/>
      <c r="AV22" s="64"/>
      <c r="AW22" s="64"/>
      <c r="AX22" s="64"/>
      <c r="AY22" s="64"/>
      <c r="AZ22" s="64"/>
      <c r="BA22" s="64"/>
      <c r="BB22" s="64"/>
      <c r="BC22" s="64"/>
      <c r="BD22" s="64"/>
      <c r="BE22" s="64"/>
      <c r="BF22" s="64"/>
      <c r="BG22" s="64"/>
      <c r="BH22" s="65" t="s">
        <v>24</v>
      </c>
      <c r="BI22" s="65"/>
      <c r="BJ22" s="65"/>
      <c r="BK22" s="66"/>
      <c r="BL22" s="67">
        <f>SUM(BL23:BP27)</f>
        <v>0</v>
      </c>
      <c r="BM22" s="68"/>
      <c r="BN22" s="68"/>
      <c r="BO22" s="68"/>
      <c r="BP22" s="69"/>
    </row>
    <row r="23" spans="2:71">
      <c r="B23" s="88"/>
      <c r="C23" s="89"/>
      <c r="D23" s="89"/>
      <c r="E23" s="89"/>
      <c r="F23" s="90"/>
      <c r="G23" s="91" t="s">
        <v>5</v>
      </c>
      <c r="H23" s="92"/>
      <c r="I23" s="92"/>
      <c r="J23" s="92" t="s">
        <v>25</v>
      </c>
      <c r="K23" s="92"/>
      <c r="L23" s="92"/>
      <c r="M23" s="92"/>
      <c r="N23" s="92"/>
      <c r="O23" s="92"/>
      <c r="P23" s="92"/>
      <c r="Q23" s="127" t="s">
        <v>23</v>
      </c>
      <c r="R23" s="56"/>
      <c r="S23" s="56"/>
      <c r="T23" s="57"/>
      <c r="U23" s="104">
        <v>2300000</v>
      </c>
      <c r="V23" s="105"/>
      <c r="W23" s="105"/>
      <c r="X23" s="106"/>
      <c r="Y23" s="93">
        <v>0.23</v>
      </c>
      <c r="Z23" s="93"/>
      <c r="AA23" s="93"/>
      <c r="AB23" s="93"/>
      <c r="AC23" s="94">
        <f t="shared" si="0"/>
        <v>0</v>
      </c>
      <c r="AD23" s="94"/>
      <c r="AE23" s="94"/>
      <c r="AF23" s="94"/>
      <c r="AG23" s="95"/>
      <c r="AK23" s="70"/>
      <c r="AL23" s="71"/>
      <c r="AM23" s="71"/>
      <c r="AN23" s="71"/>
      <c r="AO23" s="72"/>
      <c r="AP23" s="73" t="s">
        <v>75</v>
      </c>
      <c r="AQ23" s="74"/>
      <c r="AR23" s="75"/>
      <c r="AS23" s="76" t="s">
        <v>69</v>
      </c>
      <c r="AT23" s="74"/>
      <c r="AU23" s="74"/>
      <c r="AV23" s="74"/>
      <c r="AW23" s="74"/>
      <c r="AX23" s="74"/>
      <c r="AY23" s="75"/>
      <c r="AZ23" s="123" t="s">
        <v>23</v>
      </c>
      <c r="BA23" s="83"/>
      <c r="BB23" s="83"/>
      <c r="BC23" s="84"/>
      <c r="BD23" s="83">
        <v>1</v>
      </c>
      <c r="BE23" s="83"/>
      <c r="BF23" s="83"/>
      <c r="BG23" s="84"/>
      <c r="BH23" s="77">
        <v>9.9999999999999995E-8</v>
      </c>
      <c r="BI23" s="78"/>
      <c r="BJ23" s="78"/>
      <c r="BK23" s="79"/>
      <c r="BL23" s="80">
        <f>BH23*AK23</f>
        <v>0</v>
      </c>
      <c r="BM23" s="81"/>
      <c r="BN23" s="81"/>
      <c r="BO23" s="81"/>
      <c r="BP23" s="82"/>
    </row>
    <row r="24" spans="2:71">
      <c r="B24" s="88"/>
      <c r="C24" s="89"/>
      <c r="D24" s="89"/>
      <c r="E24" s="89"/>
      <c r="F24" s="90"/>
      <c r="G24" s="91" t="s">
        <v>5</v>
      </c>
      <c r="H24" s="92"/>
      <c r="I24" s="92"/>
      <c r="J24" s="92" t="s">
        <v>26</v>
      </c>
      <c r="K24" s="92"/>
      <c r="L24" s="92"/>
      <c r="M24" s="92"/>
      <c r="N24" s="92"/>
      <c r="O24" s="92"/>
      <c r="P24" s="92"/>
      <c r="Q24" s="127" t="s">
        <v>23</v>
      </c>
      <c r="R24" s="56"/>
      <c r="S24" s="56"/>
      <c r="T24" s="57"/>
      <c r="U24" s="104">
        <v>4100000</v>
      </c>
      <c r="V24" s="105"/>
      <c r="W24" s="105"/>
      <c r="X24" s="106"/>
      <c r="Y24" s="93">
        <v>0.41</v>
      </c>
      <c r="Z24" s="93"/>
      <c r="AA24" s="93"/>
      <c r="AB24" s="93"/>
      <c r="AC24" s="94">
        <f t="shared" si="0"/>
        <v>0</v>
      </c>
      <c r="AD24" s="94"/>
      <c r="AE24" s="94"/>
      <c r="AF24" s="94"/>
      <c r="AG24" s="95"/>
      <c r="AK24" s="15"/>
      <c r="AL24" s="16"/>
      <c r="AM24" s="16"/>
      <c r="AN24" s="16"/>
      <c r="AO24" s="17"/>
      <c r="AP24" s="18" t="s">
        <v>75</v>
      </c>
      <c r="AQ24" s="19"/>
      <c r="AR24" s="20"/>
      <c r="AS24" s="21" t="s">
        <v>70</v>
      </c>
      <c r="AT24" s="19"/>
      <c r="AU24" s="19"/>
      <c r="AV24" s="19"/>
      <c r="AW24" s="19"/>
      <c r="AX24" s="19"/>
      <c r="AY24" s="20"/>
      <c r="AZ24" s="127" t="s">
        <v>23</v>
      </c>
      <c r="BA24" s="56"/>
      <c r="BB24" s="56"/>
      <c r="BC24" s="57"/>
      <c r="BD24" s="56">
        <v>1</v>
      </c>
      <c r="BE24" s="56"/>
      <c r="BF24" s="56"/>
      <c r="BG24" s="57"/>
      <c r="BH24" s="40">
        <v>9.9999999999999995E-8</v>
      </c>
      <c r="BI24" s="41"/>
      <c r="BJ24" s="41"/>
      <c r="BK24" s="42"/>
      <c r="BL24" s="25">
        <f>BH24*AK24</f>
        <v>0</v>
      </c>
      <c r="BM24" s="26"/>
      <c r="BN24" s="26"/>
      <c r="BO24" s="26"/>
      <c r="BP24" s="27"/>
    </row>
    <row r="25" spans="2:71" ht="15.75" thickBot="1">
      <c r="B25" s="108"/>
      <c r="C25" s="109"/>
      <c r="D25" s="109"/>
      <c r="E25" s="109"/>
      <c r="F25" s="110"/>
      <c r="G25" s="111" t="s">
        <v>5</v>
      </c>
      <c r="H25" s="112"/>
      <c r="I25" s="112"/>
      <c r="J25" s="112" t="s">
        <v>27</v>
      </c>
      <c r="K25" s="112"/>
      <c r="L25" s="112"/>
      <c r="M25" s="112"/>
      <c r="N25" s="112"/>
      <c r="O25" s="112"/>
      <c r="P25" s="112"/>
      <c r="Q25" s="131" t="s">
        <v>23</v>
      </c>
      <c r="R25" s="58"/>
      <c r="S25" s="58"/>
      <c r="T25" s="59"/>
      <c r="U25" s="128">
        <v>5000000</v>
      </c>
      <c r="V25" s="129"/>
      <c r="W25" s="129"/>
      <c r="X25" s="130"/>
      <c r="Y25" s="113">
        <v>0.5</v>
      </c>
      <c r="Z25" s="113"/>
      <c r="AA25" s="113"/>
      <c r="AB25" s="113"/>
      <c r="AC25" s="114">
        <f t="shared" si="0"/>
        <v>0</v>
      </c>
      <c r="AD25" s="114"/>
      <c r="AE25" s="114"/>
      <c r="AF25" s="114"/>
      <c r="AG25" s="115"/>
      <c r="AK25" s="15"/>
      <c r="AL25" s="16"/>
      <c r="AM25" s="16"/>
      <c r="AN25" s="16"/>
      <c r="AO25" s="17"/>
      <c r="AP25" s="18" t="s">
        <v>75</v>
      </c>
      <c r="AQ25" s="19"/>
      <c r="AR25" s="20"/>
      <c r="AS25" s="21" t="s">
        <v>76</v>
      </c>
      <c r="AT25" s="19"/>
      <c r="AU25" s="19"/>
      <c r="AV25" s="19"/>
      <c r="AW25" s="19"/>
      <c r="AX25" s="19"/>
      <c r="AY25" s="20"/>
      <c r="AZ25" s="127" t="s">
        <v>23</v>
      </c>
      <c r="BA25" s="56"/>
      <c r="BB25" s="56"/>
      <c r="BC25" s="57"/>
      <c r="BD25" s="56">
        <v>1</v>
      </c>
      <c r="BE25" s="56"/>
      <c r="BF25" s="56"/>
      <c r="BG25" s="57"/>
      <c r="BH25" s="40">
        <v>9.9999999999999995E-8</v>
      </c>
      <c r="BI25" s="41"/>
      <c r="BJ25" s="41"/>
      <c r="BK25" s="42"/>
      <c r="BL25" s="25">
        <f>BH25*AK25</f>
        <v>0</v>
      </c>
      <c r="BM25" s="26"/>
      <c r="BN25" s="26"/>
      <c r="BO25" s="26"/>
      <c r="BP25" s="27"/>
    </row>
    <row r="26" spans="2:71" ht="15.75" thickBot="1">
      <c r="B26" s="63" t="s">
        <v>120</v>
      </c>
      <c r="C26" s="64"/>
      <c r="D26" s="64"/>
      <c r="E26" s="64"/>
      <c r="F26" s="64"/>
      <c r="G26" s="64"/>
      <c r="H26" s="64"/>
      <c r="I26" s="64"/>
      <c r="J26" s="64"/>
      <c r="K26" s="64"/>
      <c r="L26" s="64"/>
      <c r="M26" s="64"/>
      <c r="N26" s="64"/>
      <c r="O26" s="64"/>
      <c r="P26" s="64"/>
      <c r="Q26" s="64"/>
      <c r="R26" s="64"/>
      <c r="S26" s="64"/>
      <c r="T26" s="64"/>
      <c r="U26" s="64"/>
      <c r="V26" s="64"/>
      <c r="W26" s="64"/>
      <c r="X26" s="64"/>
      <c r="Y26" s="65" t="s">
        <v>24</v>
      </c>
      <c r="Z26" s="65"/>
      <c r="AA26" s="65"/>
      <c r="AB26" s="65"/>
      <c r="AC26" s="67">
        <f>SUM(AC27:AG40)</f>
        <v>0</v>
      </c>
      <c r="AD26" s="68"/>
      <c r="AE26" s="68"/>
      <c r="AF26" s="68"/>
      <c r="AG26" s="69"/>
      <c r="AK26" s="15"/>
      <c r="AL26" s="16"/>
      <c r="AM26" s="16"/>
      <c r="AN26" s="16"/>
      <c r="AO26" s="17"/>
      <c r="AP26" s="18" t="s">
        <v>75</v>
      </c>
      <c r="AQ26" s="19"/>
      <c r="AR26" s="20"/>
      <c r="AS26" s="21" t="s">
        <v>101</v>
      </c>
      <c r="AT26" s="19"/>
      <c r="AU26" s="19"/>
      <c r="AV26" s="19"/>
      <c r="AW26" s="19"/>
      <c r="AX26" s="19"/>
      <c r="AY26" s="20"/>
      <c r="AZ26" s="127" t="s">
        <v>23</v>
      </c>
      <c r="BA26" s="56"/>
      <c r="BB26" s="56"/>
      <c r="BC26" s="57"/>
      <c r="BD26" s="56">
        <v>1</v>
      </c>
      <c r="BE26" s="56"/>
      <c r="BF26" s="56"/>
      <c r="BG26" s="57"/>
      <c r="BH26" s="40">
        <v>9.9999999999999995E-8</v>
      </c>
      <c r="BI26" s="41"/>
      <c r="BJ26" s="41"/>
      <c r="BK26" s="42"/>
      <c r="BL26" s="25">
        <f>BH26*AK26</f>
        <v>0</v>
      </c>
      <c r="BM26" s="26"/>
      <c r="BN26" s="26"/>
      <c r="BO26" s="26"/>
      <c r="BP26" s="27"/>
    </row>
    <row r="27" spans="2:71" ht="15.75" thickBot="1">
      <c r="B27" s="96"/>
      <c r="C27" s="97"/>
      <c r="D27" s="97"/>
      <c r="E27" s="97"/>
      <c r="F27" s="107"/>
      <c r="G27" s="75" t="s">
        <v>5</v>
      </c>
      <c r="H27" s="100"/>
      <c r="I27" s="100"/>
      <c r="J27" s="100" t="s">
        <v>29</v>
      </c>
      <c r="K27" s="100"/>
      <c r="L27" s="100"/>
      <c r="M27" s="100"/>
      <c r="N27" s="100"/>
      <c r="O27" s="100"/>
      <c r="P27" s="100"/>
      <c r="Q27" s="123" t="s">
        <v>30</v>
      </c>
      <c r="R27" s="83"/>
      <c r="S27" s="83"/>
      <c r="T27" s="84"/>
      <c r="U27" s="124">
        <v>10500000</v>
      </c>
      <c r="V27" s="125"/>
      <c r="W27" s="125"/>
      <c r="X27" s="126"/>
      <c r="Y27" s="101">
        <v>1.05</v>
      </c>
      <c r="Z27" s="101"/>
      <c r="AA27" s="101"/>
      <c r="AB27" s="101"/>
      <c r="AC27" s="102">
        <f t="shared" ref="AC27:AC40" si="3">Y27*B27</f>
        <v>0</v>
      </c>
      <c r="AD27" s="102"/>
      <c r="AE27" s="102"/>
      <c r="AF27" s="102"/>
      <c r="AG27" s="103"/>
      <c r="AK27" s="43"/>
      <c r="AL27" s="44"/>
      <c r="AM27" s="44"/>
      <c r="AN27" s="44"/>
      <c r="AO27" s="45"/>
      <c r="AP27" s="46" t="s">
        <v>75</v>
      </c>
      <c r="AQ27" s="47"/>
      <c r="AR27" s="48"/>
      <c r="AS27" s="49" t="s">
        <v>102</v>
      </c>
      <c r="AT27" s="47"/>
      <c r="AU27" s="47"/>
      <c r="AV27" s="47"/>
      <c r="AW27" s="47"/>
      <c r="AX27" s="47"/>
      <c r="AY27" s="48"/>
      <c r="AZ27" s="131" t="s">
        <v>23</v>
      </c>
      <c r="BA27" s="58"/>
      <c r="BB27" s="58"/>
      <c r="BC27" s="59"/>
      <c r="BD27" s="58">
        <v>1</v>
      </c>
      <c r="BE27" s="58"/>
      <c r="BF27" s="58"/>
      <c r="BG27" s="59"/>
      <c r="BH27" s="50">
        <v>9.9999999999999995E-8</v>
      </c>
      <c r="BI27" s="51"/>
      <c r="BJ27" s="51"/>
      <c r="BK27" s="52"/>
      <c r="BL27" s="53">
        <f>BH27*AK27</f>
        <v>0</v>
      </c>
      <c r="BM27" s="54"/>
      <c r="BN27" s="54"/>
      <c r="BO27" s="54"/>
      <c r="BP27" s="55"/>
    </row>
    <row r="28" spans="2:71">
      <c r="B28" s="88"/>
      <c r="C28" s="89"/>
      <c r="D28" s="89"/>
      <c r="E28" s="89"/>
      <c r="F28" s="116"/>
      <c r="G28" s="117" t="s">
        <v>5</v>
      </c>
      <c r="H28" s="118"/>
      <c r="I28" s="118"/>
      <c r="J28" s="92" t="s">
        <v>31</v>
      </c>
      <c r="K28" s="92"/>
      <c r="L28" s="92"/>
      <c r="M28" s="92"/>
      <c r="N28" s="92"/>
      <c r="O28" s="92"/>
      <c r="P28" s="92"/>
      <c r="Q28" s="127" t="s">
        <v>34</v>
      </c>
      <c r="R28" s="56"/>
      <c r="S28" s="56"/>
      <c r="T28" s="57"/>
      <c r="U28" s="104">
        <v>9600000</v>
      </c>
      <c r="V28" s="105"/>
      <c r="W28" s="105"/>
      <c r="X28" s="106"/>
      <c r="Y28" s="93">
        <v>0.96</v>
      </c>
      <c r="Z28" s="93"/>
      <c r="AA28" s="93"/>
      <c r="AB28" s="93"/>
      <c r="AC28" s="94">
        <f t="shared" si="3"/>
        <v>0</v>
      </c>
      <c r="AD28" s="94"/>
      <c r="AE28" s="94"/>
      <c r="AF28" s="94"/>
      <c r="AG28" s="95"/>
      <c r="AK28" s="28" t="s">
        <v>100</v>
      </c>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30"/>
      <c r="BL28" s="34">
        <f>BL22+BL15+BL5+AC26+AC5</f>
        <v>0</v>
      </c>
      <c r="BM28" s="35"/>
      <c r="BN28" s="35"/>
      <c r="BO28" s="35"/>
      <c r="BP28" s="36"/>
    </row>
    <row r="29" spans="2:71" ht="15.75" thickBot="1">
      <c r="B29" s="88"/>
      <c r="C29" s="89"/>
      <c r="D29" s="89"/>
      <c r="E29" s="89"/>
      <c r="F29" s="116"/>
      <c r="G29" s="117" t="s">
        <v>5</v>
      </c>
      <c r="H29" s="118"/>
      <c r="I29" s="118"/>
      <c r="J29" s="92" t="s">
        <v>32</v>
      </c>
      <c r="K29" s="92"/>
      <c r="L29" s="92"/>
      <c r="M29" s="92"/>
      <c r="N29" s="92"/>
      <c r="O29" s="92"/>
      <c r="P29" s="92"/>
      <c r="Q29" s="127" t="s">
        <v>35</v>
      </c>
      <c r="R29" s="56"/>
      <c r="S29" s="56"/>
      <c r="T29" s="57"/>
      <c r="U29" s="104">
        <v>10025000</v>
      </c>
      <c r="V29" s="105"/>
      <c r="W29" s="105"/>
      <c r="X29" s="106"/>
      <c r="Y29" s="93">
        <v>1.0024999999999999</v>
      </c>
      <c r="Z29" s="93"/>
      <c r="AA29" s="93"/>
      <c r="AB29" s="93"/>
      <c r="AC29" s="94">
        <f t="shared" si="3"/>
        <v>0</v>
      </c>
      <c r="AD29" s="94"/>
      <c r="AE29" s="94"/>
      <c r="AF29" s="94"/>
      <c r="AG29" s="95"/>
      <c r="AK29" s="31"/>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3"/>
      <c r="BL29" s="37"/>
      <c r="BM29" s="38"/>
      <c r="BN29" s="38"/>
      <c r="BO29" s="38"/>
      <c r="BP29" s="39"/>
    </row>
    <row r="30" spans="2:71" ht="14.45" customHeight="1">
      <c r="B30" s="88"/>
      <c r="C30" s="89"/>
      <c r="D30" s="89"/>
      <c r="E30" s="89"/>
      <c r="F30" s="116"/>
      <c r="G30" s="117" t="s">
        <v>5</v>
      </c>
      <c r="H30" s="118"/>
      <c r="I30" s="118"/>
      <c r="J30" s="92" t="s">
        <v>33</v>
      </c>
      <c r="K30" s="92"/>
      <c r="L30" s="92"/>
      <c r="M30" s="92"/>
      <c r="N30" s="92"/>
      <c r="O30" s="92"/>
      <c r="P30" s="92"/>
      <c r="Q30" s="127" t="s">
        <v>36</v>
      </c>
      <c r="R30" s="56"/>
      <c r="S30" s="56"/>
      <c r="T30" s="57"/>
      <c r="U30" s="104">
        <v>9860000</v>
      </c>
      <c r="V30" s="105"/>
      <c r="W30" s="105"/>
      <c r="X30" s="106"/>
      <c r="Y30" s="93">
        <v>0.98599999999999999</v>
      </c>
      <c r="Z30" s="93"/>
      <c r="AA30" s="93"/>
      <c r="AB30" s="93"/>
      <c r="AC30" s="94">
        <f t="shared" si="3"/>
        <v>0</v>
      </c>
      <c r="AD30" s="94"/>
      <c r="AE30" s="94"/>
      <c r="AF30" s="94"/>
      <c r="AG30" s="95"/>
      <c r="AJ30" s="8"/>
      <c r="AK30" s="13" t="s">
        <v>126</v>
      </c>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8"/>
      <c r="BS30" s="8"/>
    </row>
    <row r="31" spans="2:71">
      <c r="B31" s="88"/>
      <c r="C31" s="89"/>
      <c r="D31" s="89"/>
      <c r="E31" s="89"/>
      <c r="F31" s="116"/>
      <c r="G31" s="20" t="s">
        <v>5</v>
      </c>
      <c r="H31" s="92"/>
      <c r="I31" s="92"/>
      <c r="J31" s="92" t="s">
        <v>37</v>
      </c>
      <c r="K31" s="92"/>
      <c r="L31" s="92"/>
      <c r="M31" s="92"/>
      <c r="N31" s="92"/>
      <c r="O31" s="92"/>
      <c r="P31" s="92"/>
      <c r="Q31" s="127" t="s">
        <v>38</v>
      </c>
      <c r="R31" s="56"/>
      <c r="S31" s="56"/>
      <c r="T31" s="57"/>
      <c r="U31" s="104">
        <v>10200000</v>
      </c>
      <c r="V31" s="105"/>
      <c r="W31" s="105"/>
      <c r="X31" s="106"/>
      <c r="Y31" s="93">
        <v>1.02</v>
      </c>
      <c r="Z31" s="93"/>
      <c r="AA31" s="93"/>
      <c r="AB31" s="93"/>
      <c r="AC31" s="94">
        <f t="shared" si="3"/>
        <v>0</v>
      </c>
      <c r="AD31" s="94"/>
      <c r="AE31" s="94"/>
      <c r="AF31" s="94"/>
      <c r="AG31" s="95"/>
      <c r="AI31" s="8"/>
      <c r="AJ31" s="8"/>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8"/>
      <c r="BS31" s="8"/>
    </row>
    <row r="32" spans="2:71">
      <c r="B32" s="88"/>
      <c r="C32" s="89"/>
      <c r="D32" s="89"/>
      <c r="E32" s="89"/>
      <c r="F32" s="116"/>
      <c r="G32" s="20" t="s">
        <v>5</v>
      </c>
      <c r="H32" s="92"/>
      <c r="I32" s="92"/>
      <c r="J32" s="92" t="s">
        <v>39</v>
      </c>
      <c r="K32" s="92"/>
      <c r="L32" s="92"/>
      <c r="M32" s="92"/>
      <c r="N32" s="92"/>
      <c r="O32" s="92"/>
      <c r="P32" s="92"/>
      <c r="Q32" s="127" t="s">
        <v>47</v>
      </c>
      <c r="R32" s="56"/>
      <c r="S32" s="56"/>
      <c r="T32" s="57"/>
      <c r="U32" s="104">
        <v>10400000</v>
      </c>
      <c r="V32" s="105"/>
      <c r="W32" s="105"/>
      <c r="X32" s="106"/>
      <c r="Y32" s="93">
        <v>1.04</v>
      </c>
      <c r="Z32" s="93"/>
      <c r="AA32" s="93"/>
      <c r="AB32" s="93"/>
      <c r="AC32" s="94">
        <f t="shared" si="3"/>
        <v>0</v>
      </c>
      <c r="AD32" s="94"/>
      <c r="AE32" s="94"/>
      <c r="AF32" s="94"/>
      <c r="AG32" s="95"/>
    </row>
    <row r="33" spans="1:71">
      <c r="B33" s="88"/>
      <c r="C33" s="89"/>
      <c r="D33" s="89"/>
      <c r="E33" s="89"/>
      <c r="F33" s="116"/>
      <c r="G33" s="20" t="s">
        <v>5</v>
      </c>
      <c r="H33" s="92"/>
      <c r="I33" s="92"/>
      <c r="J33" s="92" t="s">
        <v>40</v>
      </c>
      <c r="K33" s="92"/>
      <c r="L33" s="92"/>
      <c r="M33" s="92"/>
      <c r="N33" s="92"/>
      <c r="O33" s="92"/>
      <c r="P33" s="92"/>
      <c r="Q33" s="127" t="s">
        <v>48</v>
      </c>
      <c r="R33" s="56"/>
      <c r="S33" s="56"/>
      <c r="T33" s="57"/>
      <c r="U33" s="104">
        <v>8290000</v>
      </c>
      <c r="V33" s="105"/>
      <c r="W33" s="105"/>
      <c r="X33" s="106"/>
      <c r="Y33" s="93">
        <v>0.82899999999999996</v>
      </c>
      <c r="Z33" s="93"/>
      <c r="AA33" s="93"/>
      <c r="AB33" s="93"/>
      <c r="AC33" s="94">
        <f t="shared" si="3"/>
        <v>0</v>
      </c>
      <c r="AD33" s="94"/>
      <c r="AE33" s="94"/>
      <c r="AF33" s="94"/>
      <c r="AG33" s="95"/>
    </row>
    <row r="34" spans="1:71">
      <c r="B34" s="88"/>
      <c r="C34" s="89"/>
      <c r="D34" s="89"/>
      <c r="E34" s="89"/>
      <c r="F34" s="116"/>
      <c r="G34" s="20" t="s">
        <v>5</v>
      </c>
      <c r="H34" s="92"/>
      <c r="I34" s="92"/>
      <c r="J34" s="92" t="s">
        <v>41</v>
      </c>
      <c r="K34" s="92"/>
      <c r="L34" s="92"/>
      <c r="M34" s="92"/>
      <c r="N34" s="92"/>
      <c r="O34" s="92"/>
      <c r="P34" s="92"/>
      <c r="Q34" s="127" t="s">
        <v>23</v>
      </c>
      <c r="R34" s="56"/>
      <c r="S34" s="56"/>
      <c r="T34" s="57"/>
      <c r="U34" s="104">
        <v>3000000</v>
      </c>
      <c r="V34" s="105"/>
      <c r="W34" s="105"/>
      <c r="X34" s="106"/>
      <c r="Y34" s="93">
        <v>0.3</v>
      </c>
      <c r="Z34" s="93"/>
      <c r="AA34" s="93"/>
      <c r="AB34" s="93"/>
      <c r="AC34" s="94">
        <f t="shared" si="3"/>
        <v>0</v>
      </c>
      <c r="AD34" s="94"/>
      <c r="AE34" s="94"/>
      <c r="AF34" s="94"/>
      <c r="AG34" s="95"/>
    </row>
    <row r="35" spans="1:71">
      <c r="B35" s="88"/>
      <c r="C35" s="89"/>
      <c r="D35" s="89"/>
      <c r="E35" s="89"/>
      <c r="F35" s="116"/>
      <c r="G35" s="20" t="s">
        <v>5</v>
      </c>
      <c r="H35" s="92"/>
      <c r="I35" s="92"/>
      <c r="J35" s="92" t="s">
        <v>42</v>
      </c>
      <c r="K35" s="92"/>
      <c r="L35" s="92"/>
      <c r="M35" s="92"/>
      <c r="N35" s="92"/>
      <c r="O35" s="92"/>
      <c r="P35" s="92"/>
      <c r="Q35" s="127" t="s">
        <v>23</v>
      </c>
      <c r="R35" s="56"/>
      <c r="S35" s="56"/>
      <c r="T35" s="57"/>
      <c r="U35" s="104">
        <v>10400000</v>
      </c>
      <c r="V35" s="105"/>
      <c r="W35" s="105"/>
      <c r="X35" s="106"/>
      <c r="Y35" s="93">
        <v>1.04</v>
      </c>
      <c r="Z35" s="93"/>
      <c r="AA35" s="93"/>
      <c r="AB35" s="93"/>
      <c r="AC35" s="94">
        <f t="shared" si="3"/>
        <v>0</v>
      </c>
      <c r="AD35" s="94"/>
      <c r="AE35" s="94"/>
      <c r="AF35" s="94"/>
      <c r="AG35" s="95"/>
    </row>
    <row r="36" spans="1:71">
      <c r="B36" s="88"/>
      <c r="C36" s="89"/>
      <c r="D36" s="89"/>
      <c r="E36" s="89"/>
      <c r="F36" s="116"/>
      <c r="G36" s="20" t="s">
        <v>5</v>
      </c>
      <c r="H36" s="92"/>
      <c r="I36" s="92"/>
      <c r="J36" s="92" t="s">
        <v>43</v>
      </c>
      <c r="K36" s="92"/>
      <c r="L36" s="92"/>
      <c r="M36" s="92"/>
      <c r="N36" s="92"/>
      <c r="O36" s="92"/>
      <c r="P36" s="92"/>
      <c r="Q36" s="127" t="s">
        <v>49</v>
      </c>
      <c r="R36" s="56"/>
      <c r="S36" s="56"/>
      <c r="T36" s="57"/>
      <c r="U36" s="104">
        <v>10500000</v>
      </c>
      <c r="V36" s="105"/>
      <c r="W36" s="105"/>
      <c r="X36" s="106"/>
      <c r="Y36" s="93">
        <v>1.05</v>
      </c>
      <c r="Z36" s="93"/>
      <c r="AA36" s="93"/>
      <c r="AB36" s="93"/>
      <c r="AC36" s="94">
        <f t="shared" si="3"/>
        <v>0</v>
      </c>
      <c r="AD36" s="94"/>
      <c r="AE36" s="94"/>
      <c r="AF36" s="94"/>
      <c r="AG36" s="95"/>
    </row>
    <row r="37" spans="1:71" hidden="1">
      <c r="B37" s="88"/>
      <c r="C37" s="89"/>
      <c r="D37" s="89"/>
      <c r="E37" s="89"/>
      <c r="F37" s="116"/>
      <c r="G37" s="20" t="s">
        <v>5</v>
      </c>
      <c r="H37" s="92"/>
      <c r="I37" s="92"/>
      <c r="J37" s="119" t="s">
        <v>44</v>
      </c>
      <c r="K37" s="119"/>
      <c r="L37" s="119"/>
      <c r="M37" s="119"/>
      <c r="N37" s="119"/>
      <c r="O37" s="119"/>
      <c r="P37" s="119"/>
      <c r="Q37" s="120" t="s">
        <v>23</v>
      </c>
      <c r="R37" s="120"/>
      <c r="S37" s="120"/>
      <c r="T37" s="120"/>
      <c r="U37" s="120"/>
      <c r="V37" s="120"/>
      <c r="W37" s="120"/>
      <c r="X37" s="120"/>
      <c r="Y37" s="93">
        <v>1.056</v>
      </c>
      <c r="Z37" s="93"/>
      <c r="AA37" s="93"/>
      <c r="AB37" s="93"/>
      <c r="AC37" s="94">
        <f t="shared" si="3"/>
        <v>0</v>
      </c>
      <c r="AD37" s="94"/>
      <c r="AE37" s="94"/>
      <c r="AF37" s="94"/>
      <c r="AG37" s="95"/>
    </row>
    <row r="38" spans="1:71" ht="14.45" customHeight="1">
      <c r="B38" s="88"/>
      <c r="C38" s="89"/>
      <c r="D38" s="89"/>
      <c r="E38" s="89"/>
      <c r="F38" s="116"/>
      <c r="G38" s="20" t="s">
        <v>5</v>
      </c>
      <c r="H38" s="92"/>
      <c r="I38" s="92"/>
      <c r="J38" s="92" t="s">
        <v>125</v>
      </c>
      <c r="K38" s="92"/>
      <c r="L38" s="92"/>
      <c r="M38" s="92"/>
      <c r="N38" s="92"/>
      <c r="O38" s="92"/>
      <c r="P38" s="92"/>
      <c r="Q38" s="127" t="s">
        <v>23</v>
      </c>
      <c r="R38" s="56"/>
      <c r="S38" s="56"/>
      <c r="T38" s="57"/>
      <c r="U38" s="104">
        <v>9600000</v>
      </c>
      <c r="V38" s="105"/>
      <c r="W38" s="105"/>
      <c r="X38" s="106"/>
      <c r="Y38" s="93">
        <v>0.96</v>
      </c>
      <c r="Z38" s="93"/>
      <c r="AA38" s="93"/>
      <c r="AB38" s="93"/>
      <c r="AC38" s="94">
        <f t="shared" si="3"/>
        <v>0</v>
      </c>
      <c r="AD38" s="94"/>
      <c r="AE38" s="94"/>
      <c r="AF38" s="94"/>
      <c r="AG38" s="95"/>
      <c r="AJ38" s="8"/>
      <c r="AK38" s="12" t="s">
        <v>127</v>
      </c>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8"/>
      <c r="BS38" s="8"/>
    </row>
    <row r="39" spans="1:71" ht="14.45" customHeight="1">
      <c r="B39" s="88"/>
      <c r="C39" s="89"/>
      <c r="D39" s="89"/>
      <c r="E39" s="89"/>
      <c r="F39" s="116"/>
      <c r="G39" s="20" t="s">
        <v>5</v>
      </c>
      <c r="H39" s="92"/>
      <c r="I39" s="92"/>
      <c r="J39" s="92" t="s">
        <v>45</v>
      </c>
      <c r="K39" s="92"/>
      <c r="L39" s="92"/>
      <c r="M39" s="92"/>
      <c r="N39" s="92"/>
      <c r="O39" s="92"/>
      <c r="P39" s="92"/>
      <c r="Q39" s="127" t="s">
        <v>23</v>
      </c>
      <c r="R39" s="56"/>
      <c r="S39" s="56"/>
      <c r="T39" s="57"/>
      <c r="U39" s="104">
        <v>9600000</v>
      </c>
      <c r="V39" s="105"/>
      <c r="W39" s="105"/>
      <c r="X39" s="106"/>
      <c r="Y39" s="93">
        <v>0.96</v>
      </c>
      <c r="Z39" s="93"/>
      <c r="AA39" s="93"/>
      <c r="AB39" s="93"/>
      <c r="AC39" s="94">
        <f t="shared" si="3"/>
        <v>0</v>
      </c>
      <c r="AD39" s="94"/>
      <c r="AE39" s="94"/>
      <c r="AF39" s="94"/>
      <c r="AG39" s="95"/>
      <c r="AI39" s="8"/>
      <c r="AJ39" s="8"/>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8"/>
      <c r="BS39" s="8"/>
    </row>
    <row r="40" spans="1:71" ht="14.45" customHeight="1" thickBot="1">
      <c r="B40" s="108"/>
      <c r="C40" s="109"/>
      <c r="D40" s="109"/>
      <c r="E40" s="109"/>
      <c r="F40" s="121"/>
      <c r="G40" s="48" t="s">
        <v>5</v>
      </c>
      <c r="H40" s="112"/>
      <c r="I40" s="112"/>
      <c r="J40" s="112" t="s">
        <v>46</v>
      </c>
      <c r="K40" s="112"/>
      <c r="L40" s="112"/>
      <c r="M40" s="112"/>
      <c r="N40" s="112"/>
      <c r="O40" s="112"/>
      <c r="P40" s="112"/>
      <c r="Q40" s="131" t="s">
        <v>23</v>
      </c>
      <c r="R40" s="58"/>
      <c r="S40" s="58"/>
      <c r="T40" s="59"/>
      <c r="U40" s="128">
        <v>9600000</v>
      </c>
      <c r="V40" s="129"/>
      <c r="W40" s="129"/>
      <c r="X40" s="130"/>
      <c r="Y40" s="113">
        <v>0.96</v>
      </c>
      <c r="Z40" s="113"/>
      <c r="AA40" s="113"/>
      <c r="AB40" s="113"/>
      <c r="AC40" s="114">
        <f t="shared" si="3"/>
        <v>0</v>
      </c>
      <c r="AD40" s="114"/>
      <c r="AE40" s="114"/>
      <c r="AF40" s="114"/>
      <c r="AG40" s="115"/>
      <c r="AJ40" s="8"/>
      <c r="AK40" s="12" t="s">
        <v>128</v>
      </c>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4"/>
      <c r="BR40" s="8"/>
      <c r="BS40" s="8"/>
    </row>
    <row r="41" spans="1:71" ht="14.45" customHeight="1">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7"/>
      <c r="AI41" s="8"/>
      <c r="AJ41" s="8"/>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4"/>
      <c r="BR41" s="8"/>
      <c r="BS41" s="8"/>
    </row>
    <row r="42" spans="1:71" ht="14.45" customHeight="1">
      <c r="A42" s="122" t="s">
        <v>122</v>
      </c>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8"/>
      <c r="AJ42" s="8"/>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4"/>
      <c r="BR42" s="8"/>
      <c r="BS42" s="8"/>
    </row>
    <row r="43" spans="1:71" ht="14.4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J43" s="8"/>
      <c r="AK43" s="12" t="s">
        <v>129</v>
      </c>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8"/>
      <c r="BS43" s="8"/>
    </row>
    <row r="44" spans="1:71" ht="14.45" customHeight="1">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8"/>
      <c r="AJ44" s="8"/>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8"/>
      <c r="BS44" s="8"/>
    </row>
    <row r="45" spans="1:71" ht="14.45" customHeight="1">
      <c r="AJ45" s="8"/>
      <c r="AK45" s="12" t="s">
        <v>130</v>
      </c>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8"/>
      <c r="BS45" s="8"/>
    </row>
    <row r="46" spans="1:71" ht="14.45" customHeight="1">
      <c r="AI46" s="8"/>
      <c r="AJ46" s="8"/>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8"/>
      <c r="BS46" s="8"/>
    </row>
    <row r="47" spans="1:71">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sheetData>
  <sheetProtection algorithmName="SHA-512" hashValue="YKH6F318BhkTf0pkfP1+LzpvczSmgSlGWxa15P0wxz0g7krGRJMd16/ABnPJSlwnuc/qX/fSj/YhrWgYN1uX1Q==" saltValue="Kk0jyCfLLyg7cPkCkkVWMg==" spinCount="100000" sheet="1" selectLockedCells="1"/>
  <mergeCells count="414">
    <mergeCell ref="AS2:AY4"/>
    <mergeCell ref="BH2:BK4"/>
    <mergeCell ref="BL2:BP4"/>
    <mergeCell ref="AK2:AO4"/>
    <mergeCell ref="AZ17:BC17"/>
    <mergeCell ref="BD17:BG17"/>
    <mergeCell ref="BD18:BG18"/>
    <mergeCell ref="BD19:BG19"/>
    <mergeCell ref="BD20:BG20"/>
    <mergeCell ref="AZ18:BC18"/>
    <mergeCell ref="AZ19:BC19"/>
    <mergeCell ref="AZ20:BC20"/>
    <mergeCell ref="AK7:AO7"/>
    <mergeCell ref="AZ2:BC4"/>
    <mergeCell ref="BD2:BG4"/>
    <mergeCell ref="AZ6:BC6"/>
    <mergeCell ref="BD6:BG6"/>
    <mergeCell ref="AZ7:BC7"/>
    <mergeCell ref="BD7:BG7"/>
    <mergeCell ref="BD8:BG8"/>
    <mergeCell ref="BD9:BG9"/>
    <mergeCell ref="BD10:BG10"/>
    <mergeCell ref="BD11:BG11"/>
    <mergeCell ref="BD12:BG12"/>
    <mergeCell ref="Q32:T32"/>
    <mergeCell ref="U32:X32"/>
    <mergeCell ref="Q33:T33"/>
    <mergeCell ref="U33:X33"/>
    <mergeCell ref="Q34:T34"/>
    <mergeCell ref="U34:X34"/>
    <mergeCell ref="Q35:T35"/>
    <mergeCell ref="U35:X35"/>
    <mergeCell ref="AP2:AR4"/>
    <mergeCell ref="B2:F4"/>
    <mergeCell ref="G2:I4"/>
    <mergeCell ref="J2:P4"/>
    <mergeCell ref="Q2:T4"/>
    <mergeCell ref="U2:X4"/>
    <mergeCell ref="Y2:AB4"/>
    <mergeCell ref="AC2:AG4"/>
    <mergeCell ref="AC23:AG23"/>
    <mergeCell ref="B24:F24"/>
    <mergeCell ref="G24:I24"/>
    <mergeCell ref="J24:P24"/>
    <mergeCell ref="Y24:AB24"/>
    <mergeCell ref="AC24:AG24"/>
    <mergeCell ref="B23:F23"/>
    <mergeCell ref="G23:I23"/>
    <mergeCell ref="J23:P23"/>
    <mergeCell ref="Y23:AB23"/>
    <mergeCell ref="Q24:T24"/>
    <mergeCell ref="U23:X23"/>
    <mergeCell ref="U24:X24"/>
    <mergeCell ref="B22:F22"/>
    <mergeCell ref="G22:I22"/>
    <mergeCell ref="A42:AH43"/>
    <mergeCell ref="Q6:T6"/>
    <mergeCell ref="U6:X6"/>
    <mergeCell ref="Q7:T7"/>
    <mergeCell ref="U7:X7"/>
    <mergeCell ref="Q8:T8"/>
    <mergeCell ref="Q9:T9"/>
    <mergeCell ref="Q10:T10"/>
    <mergeCell ref="Q11:T11"/>
    <mergeCell ref="Q12:T12"/>
    <mergeCell ref="Q13:T13"/>
    <mergeCell ref="Q14:T14"/>
    <mergeCell ref="Q15:T15"/>
    <mergeCell ref="Q16:T16"/>
    <mergeCell ref="Q17:T17"/>
    <mergeCell ref="Q18:T18"/>
    <mergeCell ref="Q19:T19"/>
    <mergeCell ref="Q20:T20"/>
    <mergeCell ref="Q21:T21"/>
    <mergeCell ref="Q22:T22"/>
    <mergeCell ref="Q23:T23"/>
    <mergeCell ref="Y40:AB40"/>
    <mergeCell ref="AC40:AG40"/>
    <mergeCell ref="Y38:AB38"/>
    <mergeCell ref="AC38:AG38"/>
    <mergeCell ref="B39:F39"/>
    <mergeCell ref="G39:I39"/>
    <mergeCell ref="J39:P39"/>
    <mergeCell ref="Y39:AB39"/>
    <mergeCell ref="AC39:AG39"/>
    <mergeCell ref="B40:F40"/>
    <mergeCell ref="G40:I40"/>
    <mergeCell ref="J40:P40"/>
    <mergeCell ref="B38:F38"/>
    <mergeCell ref="G38:I38"/>
    <mergeCell ref="J38:P38"/>
    <mergeCell ref="Q38:T38"/>
    <mergeCell ref="U38:X38"/>
    <mergeCell ref="Q39:T39"/>
    <mergeCell ref="U39:X39"/>
    <mergeCell ref="Q40:T40"/>
    <mergeCell ref="U40:X40"/>
    <mergeCell ref="Y36:AB36"/>
    <mergeCell ref="AC36:AG36"/>
    <mergeCell ref="B37:F37"/>
    <mergeCell ref="G37:I37"/>
    <mergeCell ref="J37:P37"/>
    <mergeCell ref="Q37:X37"/>
    <mergeCell ref="Y37:AB37"/>
    <mergeCell ref="AC37:AG37"/>
    <mergeCell ref="Y34:AB34"/>
    <mergeCell ref="AC34:AG34"/>
    <mergeCell ref="B35:F35"/>
    <mergeCell ref="G35:I35"/>
    <mergeCell ref="J35:P35"/>
    <mergeCell ref="Y35:AB35"/>
    <mergeCell ref="AC35:AG35"/>
    <mergeCell ref="B36:F36"/>
    <mergeCell ref="G36:I36"/>
    <mergeCell ref="J36:P36"/>
    <mergeCell ref="B34:F34"/>
    <mergeCell ref="G34:I34"/>
    <mergeCell ref="J34:P34"/>
    <mergeCell ref="Q36:T36"/>
    <mergeCell ref="U36:X36"/>
    <mergeCell ref="Y32:AB32"/>
    <mergeCell ref="AC32:AG32"/>
    <mergeCell ref="B33:F33"/>
    <mergeCell ref="G33:I33"/>
    <mergeCell ref="J33:P33"/>
    <mergeCell ref="Y33:AB33"/>
    <mergeCell ref="AC33:AG33"/>
    <mergeCell ref="Y30:AB30"/>
    <mergeCell ref="AC30:AG30"/>
    <mergeCell ref="B31:F31"/>
    <mergeCell ref="G31:I31"/>
    <mergeCell ref="J31:P31"/>
    <mergeCell ref="Y31:AB31"/>
    <mergeCell ref="AC31:AG31"/>
    <mergeCell ref="B32:F32"/>
    <mergeCell ref="G32:I32"/>
    <mergeCell ref="J32:P32"/>
    <mergeCell ref="B30:F30"/>
    <mergeCell ref="G30:I30"/>
    <mergeCell ref="J30:P30"/>
    <mergeCell ref="Q30:T30"/>
    <mergeCell ref="U30:X30"/>
    <mergeCell ref="Q31:T31"/>
    <mergeCell ref="U31:X31"/>
    <mergeCell ref="B29:F29"/>
    <mergeCell ref="G29:I29"/>
    <mergeCell ref="J29:P29"/>
    <mergeCell ref="Y29:AB29"/>
    <mergeCell ref="AC29:AG29"/>
    <mergeCell ref="B28:F28"/>
    <mergeCell ref="G28:I28"/>
    <mergeCell ref="J28:P28"/>
    <mergeCell ref="Y28:AB28"/>
    <mergeCell ref="AC28:AG28"/>
    <mergeCell ref="Q28:T28"/>
    <mergeCell ref="U28:X28"/>
    <mergeCell ref="Q29:T29"/>
    <mergeCell ref="U29:X29"/>
    <mergeCell ref="B26:X26"/>
    <mergeCell ref="Y26:AB26"/>
    <mergeCell ref="AC26:AG26"/>
    <mergeCell ref="B27:F27"/>
    <mergeCell ref="G27:I27"/>
    <mergeCell ref="J27:P27"/>
    <mergeCell ref="Y27:AB27"/>
    <mergeCell ref="AC27:AG27"/>
    <mergeCell ref="B25:F25"/>
    <mergeCell ref="G25:I25"/>
    <mergeCell ref="J25:P25"/>
    <mergeCell ref="Y25:AB25"/>
    <mergeCell ref="AC25:AG25"/>
    <mergeCell ref="Q27:T27"/>
    <mergeCell ref="U27:X27"/>
    <mergeCell ref="U25:X25"/>
    <mergeCell ref="Q25:T25"/>
    <mergeCell ref="J22:P22"/>
    <mergeCell ref="Y22:AB22"/>
    <mergeCell ref="AC22:AG22"/>
    <mergeCell ref="B21:F21"/>
    <mergeCell ref="G21:I21"/>
    <mergeCell ref="J21:P21"/>
    <mergeCell ref="Y21:AB21"/>
    <mergeCell ref="AC21:AG21"/>
    <mergeCell ref="U21:X21"/>
    <mergeCell ref="U22:X22"/>
    <mergeCell ref="B20:F20"/>
    <mergeCell ref="G20:I20"/>
    <mergeCell ref="J20:P20"/>
    <mergeCell ref="Y20:AB20"/>
    <mergeCell ref="AC20:AG20"/>
    <mergeCell ref="AC19:AG19"/>
    <mergeCell ref="B18:F18"/>
    <mergeCell ref="G18:I18"/>
    <mergeCell ref="J18:P18"/>
    <mergeCell ref="Y18:AB18"/>
    <mergeCell ref="AC18:AG18"/>
    <mergeCell ref="U18:X18"/>
    <mergeCell ref="U19:X19"/>
    <mergeCell ref="U20:X20"/>
    <mergeCell ref="B17:F17"/>
    <mergeCell ref="G17:I17"/>
    <mergeCell ref="J17:P17"/>
    <mergeCell ref="Y17:AB17"/>
    <mergeCell ref="AC17:AG17"/>
    <mergeCell ref="B19:F19"/>
    <mergeCell ref="G19:I19"/>
    <mergeCell ref="J19:P19"/>
    <mergeCell ref="Y19:AB19"/>
    <mergeCell ref="U17:X17"/>
    <mergeCell ref="AC16:AG16"/>
    <mergeCell ref="B15:F15"/>
    <mergeCell ref="G15:I15"/>
    <mergeCell ref="J15:P15"/>
    <mergeCell ref="Y15:AB15"/>
    <mergeCell ref="AC15:AG15"/>
    <mergeCell ref="B14:F14"/>
    <mergeCell ref="G14:I14"/>
    <mergeCell ref="J14:P14"/>
    <mergeCell ref="Y14:AB14"/>
    <mergeCell ref="AC14:AG14"/>
    <mergeCell ref="B16:F16"/>
    <mergeCell ref="G16:I16"/>
    <mergeCell ref="J16:P16"/>
    <mergeCell ref="Y16:AB16"/>
    <mergeCell ref="U14:X14"/>
    <mergeCell ref="U15:X15"/>
    <mergeCell ref="U16:X16"/>
    <mergeCell ref="Y13:AB13"/>
    <mergeCell ref="AC13:AG13"/>
    <mergeCell ref="B12:F12"/>
    <mergeCell ref="G12:I12"/>
    <mergeCell ref="J12:P12"/>
    <mergeCell ref="Y12:AB12"/>
    <mergeCell ref="AC12:AG12"/>
    <mergeCell ref="B13:F13"/>
    <mergeCell ref="G13:I13"/>
    <mergeCell ref="J13:P13"/>
    <mergeCell ref="U12:X12"/>
    <mergeCell ref="U13:X13"/>
    <mergeCell ref="B11:F11"/>
    <mergeCell ref="G11:I11"/>
    <mergeCell ref="J11:P11"/>
    <mergeCell ref="Y11:AB11"/>
    <mergeCell ref="AC11:AG11"/>
    <mergeCell ref="B10:F10"/>
    <mergeCell ref="G10:I10"/>
    <mergeCell ref="J10:P10"/>
    <mergeCell ref="Y10:AB10"/>
    <mergeCell ref="AC10:AG10"/>
    <mergeCell ref="U10:X10"/>
    <mergeCell ref="U11:X11"/>
    <mergeCell ref="B9:F9"/>
    <mergeCell ref="G9:I9"/>
    <mergeCell ref="J9:P9"/>
    <mergeCell ref="Y9:AB9"/>
    <mergeCell ref="AC9:AG9"/>
    <mergeCell ref="B8:F8"/>
    <mergeCell ref="G8:I8"/>
    <mergeCell ref="J8:P8"/>
    <mergeCell ref="Y8:AB8"/>
    <mergeCell ref="AC8:AG8"/>
    <mergeCell ref="U8:X8"/>
    <mergeCell ref="U9:X9"/>
    <mergeCell ref="B7:F7"/>
    <mergeCell ref="G7:I7"/>
    <mergeCell ref="J7:P7"/>
    <mergeCell ref="Y7:AB7"/>
    <mergeCell ref="AC7:AG7"/>
    <mergeCell ref="B6:F6"/>
    <mergeCell ref="G6:I6"/>
    <mergeCell ref="J6:P6"/>
    <mergeCell ref="Y6:AB6"/>
    <mergeCell ref="AC6:AG6"/>
    <mergeCell ref="AC5:AG5"/>
    <mergeCell ref="Y5:AB5"/>
    <mergeCell ref="B5:X5"/>
    <mergeCell ref="AK5:BG5"/>
    <mergeCell ref="BH5:BK5"/>
    <mergeCell ref="BL5:BP5"/>
    <mergeCell ref="AK6:AO6"/>
    <mergeCell ref="AP6:AR6"/>
    <mergeCell ref="AS6:AY6"/>
    <mergeCell ref="BH6:BK6"/>
    <mergeCell ref="BL6:BP6"/>
    <mergeCell ref="AP7:AR7"/>
    <mergeCell ref="AS7:AY7"/>
    <mergeCell ref="BH7:BK7"/>
    <mergeCell ref="BL7:BP7"/>
    <mergeCell ref="AK8:AO8"/>
    <mergeCell ref="AP8:AR8"/>
    <mergeCell ref="AS8:AY8"/>
    <mergeCell ref="BH8:BK8"/>
    <mergeCell ref="BL8:BP8"/>
    <mergeCell ref="AZ8:BC8"/>
    <mergeCell ref="AK9:AO9"/>
    <mergeCell ref="AP9:AR9"/>
    <mergeCell ref="AS9:AY9"/>
    <mergeCell ref="BH9:BK9"/>
    <mergeCell ref="BL9:BP9"/>
    <mergeCell ref="AK10:AO10"/>
    <mergeCell ref="AP10:AR10"/>
    <mergeCell ref="AS10:AY10"/>
    <mergeCell ref="BH10:BK10"/>
    <mergeCell ref="BL10:BP10"/>
    <mergeCell ref="AZ9:BC9"/>
    <mergeCell ref="AZ10:BC10"/>
    <mergeCell ref="AK11:AO11"/>
    <mergeCell ref="AP11:AR11"/>
    <mergeCell ref="AS11:AY11"/>
    <mergeCell ref="BH11:BK11"/>
    <mergeCell ref="BL11:BP11"/>
    <mergeCell ref="AK12:AO12"/>
    <mergeCell ref="AP12:AR12"/>
    <mergeCell ref="AS12:AY12"/>
    <mergeCell ref="BH12:BK12"/>
    <mergeCell ref="BL12:BP12"/>
    <mergeCell ref="AZ11:BC11"/>
    <mergeCell ref="AZ12:BC12"/>
    <mergeCell ref="AK13:AO13"/>
    <mergeCell ref="AP13:AR13"/>
    <mergeCell ref="AS13:AY13"/>
    <mergeCell ref="BH13:BK13"/>
    <mergeCell ref="BL13:BP13"/>
    <mergeCell ref="AK14:AO14"/>
    <mergeCell ref="AP14:AR14"/>
    <mergeCell ref="AS14:AY14"/>
    <mergeCell ref="BH14:BK14"/>
    <mergeCell ref="BL14:BP14"/>
    <mergeCell ref="BD13:BG13"/>
    <mergeCell ref="BD14:BG14"/>
    <mergeCell ref="AZ13:BC13"/>
    <mergeCell ref="AZ14:BC14"/>
    <mergeCell ref="AK15:BG15"/>
    <mergeCell ref="BH15:BK15"/>
    <mergeCell ref="BL15:BP15"/>
    <mergeCell ref="AK16:AO16"/>
    <mergeCell ref="AP16:AR16"/>
    <mergeCell ref="AS16:AY16"/>
    <mergeCell ref="BH16:BK16"/>
    <mergeCell ref="BL16:BP16"/>
    <mergeCell ref="AK17:AO17"/>
    <mergeCell ref="AP17:AR17"/>
    <mergeCell ref="AS17:AY17"/>
    <mergeCell ref="BH17:BK17"/>
    <mergeCell ref="BL17:BP17"/>
    <mergeCell ref="AZ16:BC16"/>
    <mergeCell ref="BD16:BG16"/>
    <mergeCell ref="AK19:AO19"/>
    <mergeCell ref="AP19:AR19"/>
    <mergeCell ref="AS19:AY19"/>
    <mergeCell ref="BH19:BK19"/>
    <mergeCell ref="BL19:BP19"/>
    <mergeCell ref="AK20:AO20"/>
    <mergeCell ref="AP20:AR20"/>
    <mergeCell ref="AS20:AY20"/>
    <mergeCell ref="BH20:BK20"/>
    <mergeCell ref="BL20:BP20"/>
    <mergeCell ref="BD26:BG26"/>
    <mergeCell ref="BD27:BG27"/>
    <mergeCell ref="AK21:AO21"/>
    <mergeCell ref="AP21:AR21"/>
    <mergeCell ref="AS21:AY21"/>
    <mergeCell ref="BH21:BK21"/>
    <mergeCell ref="BL21:BP21"/>
    <mergeCell ref="AK22:BG22"/>
    <mergeCell ref="BH22:BK22"/>
    <mergeCell ref="BL22:BP22"/>
    <mergeCell ref="AK23:AO23"/>
    <mergeCell ref="AP23:AR23"/>
    <mergeCell ref="AS23:AY23"/>
    <mergeCell ref="BH23:BK23"/>
    <mergeCell ref="BL23:BP23"/>
    <mergeCell ref="BD23:BG23"/>
    <mergeCell ref="BD21:BG21"/>
    <mergeCell ref="AZ21:BC21"/>
    <mergeCell ref="AZ23:BC23"/>
    <mergeCell ref="AZ24:BC24"/>
    <mergeCell ref="AZ25:BC25"/>
    <mergeCell ref="AZ26:BC26"/>
    <mergeCell ref="AZ27:BC27"/>
    <mergeCell ref="AS24:AY24"/>
    <mergeCell ref="BH24:BK24"/>
    <mergeCell ref="BL24:BP24"/>
    <mergeCell ref="AK25:AO25"/>
    <mergeCell ref="AP25:AR25"/>
    <mergeCell ref="AS25:AY25"/>
    <mergeCell ref="BH25:BK25"/>
    <mergeCell ref="BL25:BP25"/>
    <mergeCell ref="BD24:BG24"/>
    <mergeCell ref="BD25:BG25"/>
    <mergeCell ref="AK38:BQ39"/>
    <mergeCell ref="AK30:BQ31"/>
    <mergeCell ref="AK40:BQ42"/>
    <mergeCell ref="AK43:BQ44"/>
    <mergeCell ref="AK45:BQ46"/>
    <mergeCell ref="AK18:AO18"/>
    <mergeCell ref="AP18:AR18"/>
    <mergeCell ref="AS18:AY18"/>
    <mergeCell ref="BH18:BK18"/>
    <mergeCell ref="BL18:BP18"/>
    <mergeCell ref="AK28:BK29"/>
    <mergeCell ref="BL28:BP29"/>
    <mergeCell ref="AK26:AO26"/>
    <mergeCell ref="AP26:AR26"/>
    <mergeCell ref="AS26:AY26"/>
    <mergeCell ref="BH26:BK26"/>
    <mergeCell ref="BL26:BP26"/>
    <mergeCell ref="AK27:AO27"/>
    <mergeCell ref="AP27:AR27"/>
    <mergeCell ref="AS27:AY27"/>
    <mergeCell ref="BH27:BK27"/>
    <mergeCell ref="BL27:BP27"/>
    <mergeCell ref="AK24:AO24"/>
    <mergeCell ref="AP24:AR24"/>
  </mergeCells>
  <pageMargins left="0.41666666666666669" right="0.33333333333333331" top="1.6858974358974359" bottom="0.75" header="0.3" footer="0.3"/>
  <pageSetup paperSize="9" orientation="portrait" r:id="rId1"/>
  <headerFooter>
    <oddHeader xml:space="preserve">&amp;L&amp;G&amp;C
&amp;"Times New Roman,Kalın"&amp;12ENERJİ VERİMLİLİĞİ VE ÇEVRE DAİRESİ BAŞKANLIĞI&amp;11
&amp;10&amp;K02-047YAKITLARIN TEP DÖNÜŞÜMÜ TABLOSU ve BİRİM ÇEVİRİCİ&amp;11&amp;K01+000
</oddHeader>
    <oddFooter>&amp;L&amp;"Times New Roman,Kalın"&amp;8
Bilgi İçin : 
Telefon :  (0312) 212 64 20 - 6100
e-Posta : portal.bilgi@enerji.gov.tr</oddFoot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Q11"/>
  <sheetViews>
    <sheetView showGridLines="0" workbookViewId="0">
      <selection activeCell="G8" sqref="G8:I8"/>
    </sheetView>
  </sheetViews>
  <sheetFormatPr defaultRowHeight="15"/>
  <cols>
    <col min="11" max="11" width="11.7109375" customWidth="1"/>
    <col min="13" max="13" width="14.28515625" customWidth="1"/>
    <col min="15" max="15" width="11.85546875" customWidth="1"/>
    <col min="17" max="17" width="12.85546875" customWidth="1"/>
  </cols>
  <sheetData>
    <row r="3" spans="2:17">
      <c r="B3" s="152" t="s">
        <v>104</v>
      </c>
      <c r="C3" s="152"/>
      <c r="D3" s="152"/>
      <c r="E3" s="152"/>
      <c r="F3" s="152"/>
    </row>
    <row r="4" spans="2:17" ht="15.75" thickBot="1">
      <c r="B4" s="153"/>
      <c r="C4" s="153"/>
      <c r="D4" s="153"/>
      <c r="E4" s="153"/>
      <c r="F4" s="153"/>
      <c r="H4" s="10"/>
      <c r="I4" s="10"/>
      <c r="J4" s="10"/>
      <c r="L4" s="10"/>
      <c r="N4" s="10"/>
    </row>
    <row r="5" spans="2:17" ht="15.75" thickTop="1">
      <c r="G5" s="9"/>
      <c r="K5" s="9"/>
      <c r="M5" s="9"/>
      <c r="O5" s="9"/>
    </row>
    <row r="6" spans="2:17" ht="15.75" thickBot="1"/>
    <row r="7" spans="2:17" ht="51" customHeight="1" thickTop="1" thickBot="1">
      <c r="B7" s="150" t="s">
        <v>105</v>
      </c>
      <c r="C7" s="150"/>
      <c r="D7" s="150"/>
      <c r="E7" s="150" t="s">
        <v>107</v>
      </c>
      <c r="F7" s="150"/>
      <c r="G7" s="150" t="s">
        <v>109</v>
      </c>
      <c r="H7" s="150"/>
      <c r="I7" s="150"/>
      <c r="J7" s="155" t="s">
        <v>112</v>
      </c>
      <c r="K7" s="155"/>
      <c r="L7" s="155" t="s">
        <v>113</v>
      </c>
      <c r="M7" s="155"/>
      <c r="N7" s="155" t="s">
        <v>110</v>
      </c>
      <c r="O7" s="150"/>
      <c r="P7" s="155" t="s">
        <v>111</v>
      </c>
      <c r="Q7" s="150"/>
    </row>
    <row r="8" spans="2:17" ht="27.6" customHeight="1" thickTop="1" thickBot="1">
      <c r="B8" s="154" t="s">
        <v>106</v>
      </c>
      <c r="C8" s="154"/>
      <c r="D8" s="154"/>
      <c r="E8" s="154" t="s">
        <v>108</v>
      </c>
      <c r="F8" s="154"/>
      <c r="G8" s="151">
        <v>150000</v>
      </c>
      <c r="H8" s="151"/>
      <c r="I8" s="151"/>
      <c r="J8" s="157">
        <v>120</v>
      </c>
      <c r="K8" s="157"/>
      <c r="L8" s="157">
        <v>20</v>
      </c>
      <c r="M8" s="157"/>
      <c r="N8" s="156">
        <f>G8*(J8-L8)*1.163/1000</f>
        <v>17445</v>
      </c>
      <c r="O8" s="156"/>
      <c r="P8" s="156">
        <f>N8*860</f>
        <v>15002700</v>
      </c>
      <c r="Q8" s="156"/>
    </row>
    <row r="9" spans="2:17" ht="15.75" thickTop="1"/>
    <row r="11" spans="2:17">
      <c r="B11" s="11" t="s">
        <v>114</v>
      </c>
    </row>
  </sheetData>
  <sheetProtection algorithmName="SHA-512" hashValue="GYacrF6Wv7sgGRSIDkmg7sA9mioYOAeMNYdGMhgRwXMgP7CizPKXiGBZ9Y1PagpmLtSH29LAJ+n2Eu0sdaiEig==" saltValue="yp7dgrccPmKYcl7Y1Ai0PA==" spinCount="100000" sheet="1" objects="1" scenarios="1" selectLockedCells="1"/>
  <mergeCells count="15">
    <mergeCell ref="P7:Q7"/>
    <mergeCell ref="P8:Q8"/>
    <mergeCell ref="J7:K7"/>
    <mergeCell ref="J8:K8"/>
    <mergeCell ref="L7:M7"/>
    <mergeCell ref="L8:M8"/>
    <mergeCell ref="N7:O7"/>
    <mergeCell ref="N8:O8"/>
    <mergeCell ref="G7:I7"/>
    <mergeCell ref="G8:I8"/>
    <mergeCell ref="B3:F4"/>
    <mergeCell ref="B8:D8"/>
    <mergeCell ref="B7:D7"/>
    <mergeCell ref="E7:F7"/>
    <mergeCell ref="E8:F8"/>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S11"/>
  <sheetViews>
    <sheetView showGridLines="0" workbookViewId="0">
      <selection activeCell="G8" sqref="G8:I8"/>
    </sheetView>
  </sheetViews>
  <sheetFormatPr defaultRowHeight="15"/>
  <cols>
    <col min="10" max="10" width="10.7109375" customWidth="1"/>
    <col min="11" max="11" width="9.7109375" customWidth="1"/>
    <col min="12" max="12" width="11" customWidth="1"/>
    <col min="13" max="13" width="9.85546875" customWidth="1"/>
  </cols>
  <sheetData>
    <row r="3" spans="2:19">
      <c r="B3" s="152" t="s">
        <v>115</v>
      </c>
      <c r="C3" s="152"/>
      <c r="D3" s="152"/>
      <c r="E3" s="152"/>
      <c r="F3" s="152"/>
    </row>
    <row r="4" spans="2:19" ht="15.75" thickBot="1">
      <c r="B4" s="153"/>
      <c r="C4" s="153"/>
      <c r="D4" s="153"/>
      <c r="E4" s="153"/>
      <c r="F4" s="153"/>
      <c r="G4" s="10"/>
      <c r="I4" s="10"/>
      <c r="K4" s="10"/>
    </row>
    <row r="5" spans="2:19" ht="15.75" thickTop="1">
      <c r="H5" s="9"/>
      <c r="J5" s="9"/>
      <c r="L5" s="9"/>
      <c r="M5" s="9"/>
      <c r="N5" s="9"/>
      <c r="O5" s="9"/>
    </row>
    <row r="6" spans="2:19" ht="15.75" thickBot="1"/>
    <row r="7" spans="2:19" ht="37.9" customHeight="1" thickTop="1" thickBot="1">
      <c r="B7" s="150" t="s">
        <v>105</v>
      </c>
      <c r="C7" s="150"/>
      <c r="D7" s="150"/>
      <c r="E7" s="150" t="s">
        <v>107</v>
      </c>
      <c r="F7" s="150"/>
      <c r="G7" s="150" t="s">
        <v>109</v>
      </c>
      <c r="H7" s="150"/>
      <c r="I7" s="150"/>
      <c r="J7" s="155" t="s">
        <v>116</v>
      </c>
      <c r="K7" s="155"/>
      <c r="L7" s="155" t="s">
        <v>117</v>
      </c>
      <c r="M7" s="150"/>
      <c r="N7" s="155" t="s">
        <v>110</v>
      </c>
      <c r="O7" s="150"/>
      <c r="P7" s="150"/>
      <c r="Q7" s="155" t="s">
        <v>111</v>
      </c>
      <c r="R7" s="150"/>
      <c r="S7" s="150"/>
    </row>
    <row r="8" spans="2:19" ht="30.6" customHeight="1" thickTop="1" thickBot="1">
      <c r="B8" s="154" t="s">
        <v>118</v>
      </c>
      <c r="C8" s="154"/>
      <c r="D8" s="154"/>
      <c r="E8" s="154" t="s">
        <v>108</v>
      </c>
      <c r="F8" s="154"/>
      <c r="G8" s="157">
        <v>35000</v>
      </c>
      <c r="H8" s="157"/>
      <c r="I8" s="157"/>
      <c r="J8" s="157">
        <v>19</v>
      </c>
      <c r="K8" s="157"/>
      <c r="L8" s="157">
        <v>300</v>
      </c>
      <c r="M8" s="157"/>
      <c r="N8" s="156">
        <f>(-40235832+22426458*LN(L8+273.15)-376140.65*J8-4024099.5*(LN(L8+273.15))^2+0.98186504*J8^2+106984.37*J8*LN(L8+273.15)+246719.96*(LN(L8+273.15))^3+0.00036425519*J8^3-0.21134319*J8^2*LN(L8+273.15)-7613.3775*J8*(LN(L8+273.15))^2)/1000/4.187*1.163/1000*G8</f>
        <v>29283.437504918209</v>
      </c>
      <c r="O8" s="156"/>
      <c r="P8" s="156"/>
      <c r="Q8" s="156">
        <f>N8*860</f>
        <v>25183756.254229661</v>
      </c>
      <c r="R8" s="156"/>
      <c r="S8" s="156"/>
    </row>
    <row r="9" spans="2:19" ht="15.75" thickTop="1"/>
    <row r="11" spans="2:19">
      <c r="B11" s="11" t="s">
        <v>119</v>
      </c>
    </row>
  </sheetData>
  <sheetProtection algorithmName="SHA-512" hashValue="fpOy/tQjl5Rs6BVR7qoZ3NWQBjpKxpmRznYqkkaByZmJeZ0LNsE4hyJwouXg+M8xOMoD2HUAZ4gxZS8TrGM0oA==" saltValue="tFOJd4sU9Mts8q+OptSOJw==" spinCount="100000" sheet="1" objects="1" scenarios="1" selectLockedCells="1"/>
  <mergeCells count="15">
    <mergeCell ref="L7:M7"/>
    <mergeCell ref="N7:P7"/>
    <mergeCell ref="L8:M8"/>
    <mergeCell ref="N8:P8"/>
    <mergeCell ref="Q7:S7"/>
    <mergeCell ref="Q8:S8"/>
    <mergeCell ref="G8:I8"/>
    <mergeCell ref="E8:F8"/>
    <mergeCell ref="B8:D8"/>
    <mergeCell ref="J8:K8"/>
    <mergeCell ref="B3:F4"/>
    <mergeCell ref="B7:D7"/>
    <mergeCell ref="E7:F7"/>
    <mergeCell ref="G7:I7"/>
    <mergeCell ref="J7:K7"/>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T24"/>
  <sheetViews>
    <sheetView showGridLines="0" showRowColHeaders="0" workbookViewId="0">
      <selection activeCell="H11" sqref="H11:I12"/>
    </sheetView>
  </sheetViews>
  <sheetFormatPr defaultRowHeight="15"/>
  <sheetData>
    <row r="3" spans="2:20" ht="15.75" thickBot="1">
      <c r="B3" s="1"/>
      <c r="C3" s="1"/>
      <c r="D3" s="1"/>
      <c r="E3" s="1"/>
      <c r="F3" s="1"/>
      <c r="G3" s="1"/>
      <c r="H3" s="1"/>
      <c r="I3" s="1"/>
      <c r="J3" s="1"/>
      <c r="K3" s="1"/>
      <c r="L3" s="1"/>
      <c r="M3" s="1"/>
      <c r="N3" s="1"/>
      <c r="O3" s="1"/>
      <c r="P3" s="1"/>
      <c r="Q3" s="1"/>
      <c r="R3" s="1"/>
      <c r="S3" s="1"/>
      <c r="T3" s="1"/>
    </row>
    <row r="4" spans="2:20">
      <c r="B4" s="1"/>
      <c r="C4" s="172" t="s">
        <v>79</v>
      </c>
      <c r="D4" s="173"/>
      <c r="E4" s="173"/>
      <c r="F4" s="174"/>
      <c r="G4" s="1"/>
      <c r="H4" s="1"/>
      <c r="I4" s="1"/>
      <c r="J4" s="1"/>
      <c r="K4" s="1"/>
      <c r="L4" s="1"/>
      <c r="M4" s="1"/>
      <c r="N4" s="1"/>
      <c r="O4" s="1"/>
      <c r="P4" s="1"/>
      <c r="Q4" s="1"/>
      <c r="R4" s="1"/>
      <c r="S4" s="1"/>
      <c r="T4" s="1"/>
    </row>
    <row r="5" spans="2:20" ht="15.75" thickBot="1">
      <c r="B5" s="1"/>
      <c r="C5" s="175"/>
      <c r="D5" s="176"/>
      <c r="E5" s="176"/>
      <c r="F5" s="177"/>
      <c r="G5" s="2"/>
      <c r="H5" s="1"/>
      <c r="I5" s="3"/>
      <c r="J5" s="1"/>
      <c r="K5" s="1"/>
      <c r="L5" s="3"/>
      <c r="M5" s="3"/>
      <c r="N5" s="3"/>
      <c r="O5" s="1"/>
      <c r="P5" s="1"/>
      <c r="Q5" s="1"/>
      <c r="R5" s="3"/>
      <c r="S5" s="3"/>
      <c r="T5" s="1"/>
    </row>
    <row r="6" spans="2:20">
      <c r="B6" s="1"/>
      <c r="C6" s="1"/>
      <c r="D6" s="1"/>
      <c r="E6" s="1"/>
      <c r="F6" s="1"/>
      <c r="G6" s="1"/>
      <c r="H6" s="4"/>
      <c r="I6" s="1"/>
      <c r="J6" s="4"/>
      <c r="K6" s="4"/>
      <c r="L6" s="1"/>
      <c r="M6" s="1"/>
      <c r="N6" s="1"/>
      <c r="O6" s="4"/>
      <c r="P6" s="4"/>
      <c r="Q6" s="4"/>
      <c r="R6" s="1"/>
      <c r="S6" s="1"/>
      <c r="T6" s="1"/>
    </row>
    <row r="7" spans="2:20" ht="15.75" thickBot="1">
      <c r="B7" s="1"/>
      <c r="C7" s="1"/>
      <c r="D7" s="1"/>
      <c r="E7" s="1"/>
      <c r="F7" s="1"/>
      <c r="G7" s="1"/>
      <c r="H7" s="1"/>
      <c r="I7" s="1"/>
      <c r="J7" s="1"/>
      <c r="K7" s="1"/>
      <c r="L7" s="1"/>
      <c r="M7" s="1"/>
      <c r="N7" s="1"/>
      <c r="O7" s="1"/>
      <c r="P7" s="1"/>
      <c r="Q7" s="1"/>
      <c r="R7" s="1"/>
      <c r="S7" s="1"/>
      <c r="T7" s="1"/>
    </row>
    <row r="8" spans="2:20" ht="26.45" customHeight="1" thickBot="1">
      <c r="B8" s="1"/>
      <c r="C8" s="178" t="s">
        <v>79</v>
      </c>
      <c r="D8" s="179"/>
      <c r="E8" s="180"/>
      <c r="F8" s="178" t="s">
        <v>80</v>
      </c>
      <c r="G8" s="180"/>
      <c r="H8" s="178" t="s">
        <v>81</v>
      </c>
      <c r="I8" s="180"/>
      <c r="J8" s="178" t="s">
        <v>82</v>
      </c>
      <c r="K8" s="180"/>
      <c r="L8" s="1"/>
      <c r="M8" s="1"/>
      <c r="N8" s="1"/>
      <c r="O8" s="1"/>
      <c r="P8" s="1"/>
      <c r="Q8" s="1"/>
      <c r="R8" s="1"/>
      <c r="S8" s="1"/>
      <c r="T8" s="1"/>
    </row>
    <row r="9" spans="2:20">
      <c r="B9" s="1"/>
      <c r="C9" s="158" t="s">
        <v>80</v>
      </c>
      <c r="D9" s="159"/>
      <c r="E9" s="160"/>
      <c r="F9" s="164">
        <v>0</v>
      </c>
      <c r="G9" s="165"/>
      <c r="H9" s="168">
        <f>$L$17+273.16</f>
        <v>273.16000000000003</v>
      </c>
      <c r="I9" s="169"/>
      <c r="J9" s="168">
        <f>$N$17+273.16</f>
        <v>273.16000000000003</v>
      </c>
      <c r="K9" s="169"/>
      <c r="L9" s="1"/>
      <c r="M9" s="1"/>
      <c r="N9" s="1"/>
      <c r="O9" s="1"/>
      <c r="P9" s="1"/>
      <c r="Q9" s="1"/>
      <c r="R9" s="1"/>
      <c r="S9" s="1"/>
      <c r="T9" s="1"/>
    </row>
    <row r="10" spans="2:20" ht="15.75" thickBot="1">
      <c r="B10" s="1"/>
      <c r="C10" s="161"/>
      <c r="D10" s="162"/>
      <c r="E10" s="163"/>
      <c r="F10" s="166"/>
      <c r="G10" s="167"/>
      <c r="H10" s="170"/>
      <c r="I10" s="171"/>
      <c r="J10" s="170"/>
      <c r="K10" s="171"/>
      <c r="L10" s="1"/>
      <c r="M10" s="1"/>
      <c r="N10" s="1"/>
      <c r="O10" s="1"/>
      <c r="P10" s="1"/>
      <c r="Q10" s="1"/>
      <c r="R10" s="1"/>
      <c r="S10" s="1"/>
      <c r="T10" s="1"/>
    </row>
    <row r="11" spans="2:20">
      <c r="B11" s="1"/>
      <c r="C11" s="158" t="s">
        <v>81</v>
      </c>
      <c r="D11" s="159"/>
      <c r="E11" s="160"/>
      <c r="F11" s="168">
        <f>$J$15-273.16</f>
        <v>-273.16000000000003</v>
      </c>
      <c r="G11" s="169"/>
      <c r="H11" s="164">
        <v>0</v>
      </c>
      <c r="I11" s="165"/>
      <c r="J11" s="168">
        <f>($N$19-32)/9*5</f>
        <v>-17.777777777777779</v>
      </c>
      <c r="K11" s="169"/>
      <c r="L11" s="1"/>
      <c r="M11" s="1"/>
      <c r="N11" s="1"/>
      <c r="O11" s="1"/>
      <c r="P11" s="1"/>
      <c r="Q11" s="1"/>
      <c r="R11" s="1"/>
      <c r="S11" s="1"/>
      <c r="T11" s="1"/>
    </row>
    <row r="12" spans="2:20" ht="15.75" thickBot="1">
      <c r="B12" s="1"/>
      <c r="C12" s="161"/>
      <c r="D12" s="162"/>
      <c r="E12" s="163"/>
      <c r="F12" s="170"/>
      <c r="G12" s="171"/>
      <c r="H12" s="166"/>
      <c r="I12" s="167"/>
      <c r="J12" s="170"/>
      <c r="K12" s="171"/>
      <c r="L12" s="1"/>
      <c r="M12" s="1"/>
      <c r="N12" s="1"/>
      <c r="O12" s="1"/>
      <c r="P12" s="1"/>
      <c r="Q12" s="1"/>
      <c r="R12" s="1"/>
      <c r="S12" s="1"/>
      <c r="T12" s="1"/>
    </row>
    <row r="13" spans="2:20">
      <c r="B13" s="1"/>
      <c r="C13" s="158" t="s">
        <v>82</v>
      </c>
      <c r="D13" s="159"/>
      <c r="E13" s="160"/>
      <c r="F13" s="168">
        <f>($J$15-273.16)/5*9+32</f>
        <v>-459.68800000000005</v>
      </c>
      <c r="G13" s="169"/>
      <c r="H13" s="168">
        <f>$L$17/5*9+32</f>
        <v>32</v>
      </c>
      <c r="I13" s="169"/>
      <c r="J13" s="164">
        <v>32</v>
      </c>
      <c r="K13" s="165"/>
      <c r="L13" s="1"/>
      <c r="M13" s="1"/>
      <c r="N13" s="1"/>
      <c r="O13" s="1"/>
      <c r="P13" s="1"/>
      <c r="Q13" s="1"/>
      <c r="R13" s="1"/>
      <c r="S13" s="1"/>
      <c r="T13" s="1"/>
    </row>
    <row r="14" spans="2:20" ht="15.75" thickBot="1">
      <c r="B14" s="1"/>
      <c r="C14" s="161"/>
      <c r="D14" s="162"/>
      <c r="E14" s="163"/>
      <c r="F14" s="170"/>
      <c r="G14" s="171"/>
      <c r="H14" s="170"/>
      <c r="I14" s="171"/>
      <c r="J14" s="166"/>
      <c r="K14" s="167"/>
      <c r="L14" s="1"/>
      <c r="M14" s="1"/>
      <c r="N14" s="1"/>
      <c r="O14" s="1"/>
      <c r="P14" s="1"/>
      <c r="Q14" s="1"/>
      <c r="R14" s="1"/>
      <c r="S14" s="1"/>
      <c r="T14" s="1"/>
    </row>
    <row r="15" spans="2:20">
      <c r="B15" s="1"/>
      <c r="C15" s="1"/>
      <c r="D15" s="1"/>
      <c r="E15" s="1"/>
      <c r="F15" s="1"/>
      <c r="G15" s="1"/>
      <c r="H15" s="1"/>
      <c r="I15" s="1"/>
      <c r="J15" s="1"/>
      <c r="K15" s="1"/>
      <c r="L15" s="1"/>
      <c r="M15" s="1"/>
      <c r="N15" s="1"/>
      <c r="O15" s="1"/>
      <c r="P15" s="1"/>
      <c r="Q15" s="1"/>
      <c r="R15" s="1"/>
      <c r="S15" s="1"/>
      <c r="T15" s="1"/>
    </row>
    <row r="16" spans="2:20">
      <c r="B16" s="1"/>
      <c r="C16" s="1"/>
      <c r="D16" s="1"/>
      <c r="E16" s="1"/>
      <c r="F16" s="1"/>
      <c r="G16" s="1"/>
      <c r="H16" s="1"/>
      <c r="I16" s="1"/>
      <c r="J16" s="1"/>
      <c r="K16" s="1"/>
      <c r="L16" s="1"/>
      <c r="M16" s="1"/>
      <c r="N16" s="1"/>
      <c r="O16" s="1"/>
      <c r="P16" s="1"/>
      <c r="Q16" s="1"/>
      <c r="R16" s="1"/>
      <c r="S16" s="1"/>
      <c r="T16" s="1"/>
    </row>
    <row r="17" spans="2:20">
      <c r="B17" s="1"/>
      <c r="C17" s="5"/>
      <c r="D17" s="1"/>
      <c r="E17" s="1"/>
      <c r="F17" s="1"/>
      <c r="G17" s="1"/>
      <c r="H17" s="1"/>
      <c r="I17" s="1"/>
      <c r="J17" s="1"/>
      <c r="K17" s="1"/>
      <c r="L17" s="1"/>
      <c r="M17" s="1"/>
      <c r="N17" s="1"/>
      <c r="O17" s="1"/>
      <c r="P17" s="1"/>
      <c r="Q17" s="1"/>
      <c r="R17" s="1"/>
      <c r="S17" s="1"/>
      <c r="T17" s="1"/>
    </row>
    <row r="18" spans="2:20">
      <c r="B18" s="1"/>
      <c r="C18" s="1"/>
      <c r="D18" s="1"/>
      <c r="E18" s="1"/>
      <c r="F18" s="1"/>
      <c r="G18" s="1"/>
      <c r="H18" s="1"/>
      <c r="I18" s="1"/>
      <c r="J18" s="1"/>
      <c r="K18" s="1"/>
      <c r="L18" s="1"/>
      <c r="M18" s="1"/>
      <c r="N18" s="1"/>
      <c r="O18" s="1"/>
      <c r="P18" s="1"/>
      <c r="Q18" s="1"/>
      <c r="R18" s="1"/>
      <c r="S18" s="1"/>
      <c r="T18" s="1"/>
    </row>
    <row r="19" spans="2:20">
      <c r="B19" s="1"/>
      <c r="C19" s="1"/>
      <c r="D19" s="1"/>
      <c r="E19" s="1"/>
      <c r="F19" s="1"/>
      <c r="G19" s="1"/>
      <c r="H19" s="1"/>
      <c r="I19" s="1"/>
      <c r="J19" s="1"/>
      <c r="K19" s="1"/>
      <c r="L19" s="1"/>
      <c r="M19" s="1"/>
      <c r="N19" s="1"/>
      <c r="O19" s="1"/>
      <c r="P19" s="1"/>
      <c r="Q19" s="1"/>
      <c r="R19" s="1"/>
      <c r="S19" s="1"/>
      <c r="T19" s="1"/>
    </row>
    <row r="20" spans="2:20">
      <c r="B20" s="1"/>
      <c r="C20" s="1"/>
      <c r="D20" s="1"/>
      <c r="E20" s="1"/>
      <c r="F20" s="1"/>
      <c r="G20" s="1"/>
      <c r="H20" s="1"/>
      <c r="I20" s="1"/>
      <c r="J20" s="1"/>
      <c r="K20" s="1"/>
      <c r="L20" s="1"/>
      <c r="M20" s="1"/>
      <c r="N20" s="1"/>
      <c r="O20" s="1"/>
      <c r="P20" s="1"/>
      <c r="Q20" s="1"/>
      <c r="R20" s="1"/>
      <c r="S20" s="1"/>
      <c r="T20" s="1"/>
    </row>
    <row r="21" spans="2:20">
      <c r="B21" s="1"/>
      <c r="C21" s="1"/>
      <c r="D21" s="1"/>
      <c r="E21" s="1"/>
      <c r="F21" s="1"/>
      <c r="G21" s="1"/>
      <c r="H21" s="1"/>
      <c r="I21" s="1"/>
      <c r="J21" s="1"/>
      <c r="K21" s="1"/>
      <c r="L21" s="1"/>
      <c r="M21" s="1"/>
      <c r="N21" s="1"/>
      <c r="O21" s="1"/>
      <c r="P21" s="1"/>
      <c r="Q21" s="1"/>
      <c r="R21" s="1"/>
      <c r="S21" s="1"/>
      <c r="T21" s="1"/>
    </row>
    <row r="22" spans="2:20">
      <c r="B22" s="1"/>
      <c r="C22" s="1"/>
      <c r="D22" s="1"/>
      <c r="E22" s="1"/>
      <c r="F22" s="1"/>
      <c r="G22" s="1"/>
      <c r="H22" s="1"/>
      <c r="I22" s="1"/>
      <c r="J22" s="1"/>
      <c r="K22" s="1"/>
      <c r="L22" s="1"/>
      <c r="M22" s="1"/>
      <c r="N22" s="1"/>
      <c r="O22" s="1"/>
      <c r="P22" s="1"/>
      <c r="Q22" s="1"/>
      <c r="R22" s="1"/>
      <c r="S22" s="1"/>
      <c r="T22" s="1"/>
    </row>
    <row r="23" spans="2:20">
      <c r="B23" s="1"/>
      <c r="C23" s="1"/>
      <c r="D23" s="1"/>
      <c r="E23" s="1"/>
      <c r="F23" s="1"/>
      <c r="G23" s="1"/>
      <c r="H23" s="1"/>
      <c r="I23" s="1"/>
      <c r="J23" s="1"/>
      <c r="K23" s="1"/>
      <c r="L23" s="1"/>
      <c r="M23" s="1"/>
      <c r="N23" s="1"/>
      <c r="O23" s="1"/>
      <c r="P23" s="1"/>
      <c r="Q23" s="1"/>
      <c r="R23" s="1"/>
      <c r="S23" s="1"/>
      <c r="T23" s="1"/>
    </row>
    <row r="24" spans="2:20">
      <c r="B24" s="1"/>
      <c r="C24" s="1"/>
      <c r="D24" s="1"/>
      <c r="E24" s="1"/>
      <c r="F24" s="1"/>
      <c r="G24" s="1"/>
      <c r="H24" s="1"/>
      <c r="I24" s="1"/>
      <c r="J24" s="1"/>
      <c r="K24" s="1"/>
      <c r="L24" s="1"/>
      <c r="M24" s="1"/>
      <c r="N24" s="1"/>
      <c r="O24" s="1"/>
      <c r="P24" s="1"/>
      <c r="Q24" s="1"/>
      <c r="R24" s="1"/>
      <c r="S24" s="1"/>
      <c r="T24" s="1"/>
    </row>
  </sheetData>
  <sheetProtection algorithmName="SHA-512" hashValue="zvV8r+DwgGrdj3bXKUqaei+4dD/PD1XYrkGutPcCCLuGK/8nyVM8E0yuMSuRF0pWEyofDeF2QCozsHT+yqqWaw==" saltValue="d57HYTvHwWXY0wu6iz3s1Q==" spinCount="100000" sheet="1" objects="1" scenarios="1" selectLockedCells="1"/>
  <mergeCells count="17">
    <mergeCell ref="C11:E12"/>
    <mergeCell ref="F11:G12"/>
    <mergeCell ref="H11:I12"/>
    <mergeCell ref="J11:K12"/>
    <mergeCell ref="C13:E14"/>
    <mergeCell ref="F13:G14"/>
    <mergeCell ref="H13:I14"/>
    <mergeCell ref="J13:K14"/>
    <mergeCell ref="C9:E10"/>
    <mergeCell ref="F9:G10"/>
    <mergeCell ref="H9:I10"/>
    <mergeCell ref="J9:K10"/>
    <mergeCell ref="C4:F5"/>
    <mergeCell ref="C8:E8"/>
    <mergeCell ref="F8:G8"/>
    <mergeCell ref="H8:I8"/>
    <mergeCell ref="J8:K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S16"/>
  <sheetViews>
    <sheetView showGridLines="0" showRowColHeaders="0" workbookViewId="0">
      <selection activeCell="K15" sqref="K15:L16"/>
    </sheetView>
  </sheetViews>
  <sheetFormatPr defaultRowHeight="15"/>
  <sheetData>
    <row r="3" spans="3:19" ht="15.75" thickBot="1"/>
    <row r="4" spans="3:19">
      <c r="C4" s="172" t="s">
        <v>83</v>
      </c>
      <c r="D4" s="173"/>
      <c r="E4" s="173"/>
      <c r="F4" s="174"/>
      <c r="G4" s="1"/>
      <c r="H4" s="1"/>
      <c r="I4" s="1"/>
      <c r="J4" s="1"/>
      <c r="K4" s="1"/>
      <c r="L4" s="1"/>
      <c r="M4" s="1"/>
      <c r="N4" s="1"/>
      <c r="O4" s="1"/>
      <c r="P4" s="1"/>
      <c r="Q4" s="1"/>
      <c r="R4" s="1"/>
      <c r="S4" s="1"/>
    </row>
    <row r="5" spans="3:19" ht="15.75" thickBot="1">
      <c r="C5" s="175"/>
      <c r="D5" s="176"/>
      <c r="E5" s="176"/>
      <c r="F5" s="177"/>
      <c r="G5" s="2"/>
      <c r="H5" s="1"/>
      <c r="I5" s="3"/>
      <c r="J5" s="3"/>
      <c r="K5" s="3"/>
      <c r="L5" s="3"/>
      <c r="M5" s="3"/>
      <c r="N5" s="3"/>
      <c r="O5" s="1"/>
      <c r="P5" s="3"/>
      <c r="Q5" s="1"/>
      <c r="R5" s="3"/>
      <c r="S5" s="3"/>
    </row>
    <row r="6" spans="3:19">
      <c r="H6" s="6"/>
      <c r="O6" s="6"/>
      <c r="Q6" s="6"/>
    </row>
    <row r="7" spans="3:19" ht="15.75" thickBot="1"/>
    <row r="8" spans="3:19" ht="27.6" customHeight="1" thickBot="1">
      <c r="C8" s="178" t="s">
        <v>83</v>
      </c>
      <c r="D8" s="180"/>
      <c r="E8" s="178" t="s">
        <v>84</v>
      </c>
      <c r="F8" s="180"/>
      <c r="G8" s="178" t="s">
        <v>85</v>
      </c>
      <c r="H8" s="180"/>
      <c r="I8" s="178" t="s">
        <v>86</v>
      </c>
      <c r="J8" s="180"/>
      <c r="K8" s="178" t="s">
        <v>87</v>
      </c>
      <c r="L8" s="180"/>
    </row>
    <row r="9" spans="3:19">
      <c r="C9" s="158" t="s">
        <v>84</v>
      </c>
      <c r="D9" s="160"/>
      <c r="E9" s="185">
        <v>1</v>
      </c>
      <c r="F9" s="186"/>
      <c r="G9" s="181">
        <f>$G$11*1.013</f>
        <v>1.0129999999999999</v>
      </c>
      <c r="H9" s="182"/>
      <c r="I9" s="181">
        <f>$I$13*0.1013</f>
        <v>0.1013</v>
      </c>
      <c r="J9" s="182"/>
      <c r="K9" s="181">
        <f>$K$15*14.69</f>
        <v>14.69</v>
      </c>
      <c r="L9" s="182"/>
    </row>
    <row r="10" spans="3:19" ht="15.75" thickBot="1">
      <c r="C10" s="161"/>
      <c r="D10" s="163"/>
      <c r="E10" s="187"/>
      <c r="F10" s="188"/>
      <c r="G10" s="183"/>
      <c r="H10" s="184"/>
      <c r="I10" s="183"/>
      <c r="J10" s="184"/>
      <c r="K10" s="183"/>
      <c r="L10" s="184"/>
    </row>
    <row r="11" spans="3:19">
      <c r="C11" s="158" t="s">
        <v>85</v>
      </c>
      <c r="D11" s="160"/>
      <c r="E11" s="181">
        <f>$E$9*0.9872</f>
        <v>0.98719999999999997</v>
      </c>
      <c r="F11" s="182"/>
      <c r="G11" s="185">
        <v>1</v>
      </c>
      <c r="H11" s="186"/>
      <c r="I11" s="181">
        <f>$I$13*0.1</f>
        <v>0.1</v>
      </c>
      <c r="J11" s="182"/>
      <c r="K11" s="181">
        <f>$K$15*14.5</f>
        <v>14.5</v>
      </c>
      <c r="L11" s="182"/>
    </row>
    <row r="12" spans="3:19" ht="15.75" thickBot="1">
      <c r="C12" s="161"/>
      <c r="D12" s="163"/>
      <c r="E12" s="183"/>
      <c r="F12" s="184"/>
      <c r="G12" s="187"/>
      <c r="H12" s="188"/>
      <c r="I12" s="183"/>
      <c r="J12" s="184"/>
      <c r="K12" s="183"/>
      <c r="L12" s="184"/>
    </row>
    <row r="13" spans="3:19">
      <c r="C13" s="158" t="s">
        <v>86</v>
      </c>
      <c r="D13" s="160"/>
      <c r="E13" s="181">
        <f>$E$9*9.872</f>
        <v>9.8719999999999999</v>
      </c>
      <c r="F13" s="182"/>
      <c r="G13" s="181">
        <f>$G$11*10</f>
        <v>10</v>
      </c>
      <c r="H13" s="182"/>
      <c r="I13" s="185">
        <v>1</v>
      </c>
      <c r="J13" s="186"/>
      <c r="K13" s="181">
        <f>$K$15*145</f>
        <v>145</v>
      </c>
      <c r="L13" s="182"/>
    </row>
    <row r="14" spans="3:19" ht="15.75" thickBot="1">
      <c r="C14" s="161"/>
      <c r="D14" s="163"/>
      <c r="E14" s="183"/>
      <c r="F14" s="184"/>
      <c r="G14" s="183"/>
      <c r="H14" s="184"/>
      <c r="I14" s="187"/>
      <c r="J14" s="188"/>
      <c r="K14" s="183"/>
      <c r="L14" s="184"/>
    </row>
    <row r="15" spans="3:19">
      <c r="C15" s="189" t="s">
        <v>88</v>
      </c>
      <c r="D15" s="160"/>
      <c r="E15" s="181">
        <f>$E$9*0.068</f>
        <v>6.8000000000000005E-2</v>
      </c>
      <c r="F15" s="182"/>
      <c r="G15" s="181">
        <f>$G$11*0.0689</f>
        <v>6.8900000000000003E-2</v>
      </c>
      <c r="H15" s="182"/>
      <c r="I15" s="181">
        <f>$I$13*6.893/1000</f>
        <v>6.8929999999999998E-3</v>
      </c>
      <c r="J15" s="182"/>
      <c r="K15" s="185">
        <v>1</v>
      </c>
      <c r="L15" s="186"/>
    </row>
    <row r="16" spans="3:19" ht="15.75" thickBot="1">
      <c r="C16" s="161"/>
      <c r="D16" s="163"/>
      <c r="E16" s="183"/>
      <c r="F16" s="184"/>
      <c r="G16" s="183"/>
      <c r="H16" s="184"/>
      <c r="I16" s="183"/>
      <c r="J16" s="184"/>
      <c r="K16" s="187"/>
      <c r="L16" s="188"/>
    </row>
  </sheetData>
  <sheetProtection algorithmName="SHA-512" hashValue="KCGfsxDhiebaxMC9tjxvmlfEAtJupNAUoQ3Z1JA2xXF0MAb44FyGedd442d9t79Ie1eNBHAQkKE5DaykxRrxYQ==" saltValue="TQUA9+1wvMUyOqdRY8bAwA==" spinCount="100000" sheet="1" objects="1" scenarios="1" selectLockedCells="1"/>
  <mergeCells count="26">
    <mergeCell ref="C13:D14"/>
    <mergeCell ref="E13:F14"/>
    <mergeCell ref="G13:H14"/>
    <mergeCell ref="I13:J14"/>
    <mergeCell ref="K13:L14"/>
    <mergeCell ref="C15:D16"/>
    <mergeCell ref="E15:F16"/>
    <mergeCell ref="G15:H16"/>
    <mergeCell ref="I15:J16"/>
    <mergeCell ref="K15:L16"/>
    <mergeCell ref="C9:D10"/>
    <mergeCell ref="E9:F10"/>
    <mergeCell ref="G9:H10"/>
    <mergeCell ref="I9:J10"/>
    <mergeCell ref="K9:L10"/>
    <mergeCell ref="C11:D12"/>
    <mergeCell ref="E11:F12"/>
    <mergeCell ref="G11:H12"/>
    <mergeCell ref="I11:J12"/>
    <mergeCell ref="K11:L12"/>
    <mergeCell ref="K8:L8"/>
    <mergeCell ref="C4:F5"/>
    <mergeCell ref="C8:D8"/>
    <mergeCell ref="E8:F8"/>
    <mergeCell ref="G8:H8"/>
    <mergeCell ref="I8:J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S16"/>
  <sheetViews>
    <sheetView showGridLines="0" showRowColHeaders="0" workbookViewId="0">
      <selection activeCell="K15" sqref="K15:L16"/>
    </sheetView>
  </sheetViews>
  <sheetFormatPr defaultRowHeight="15"/>
  <sheetData>
    <row r="3" spans="3:19" ht="15.75" thickBot="1"/>
    <row r="4" spans="3:19">
      <c r="C4" s="172" t="s">
        <v>89</v>
      </c>
      <c r="D4" s="173"/>
      <c r="E4" s="173"/>
      <c r="F4" s="174"/>
      <c r="G4" s="1"/>
      <c r="H4" s="1"/>
      <c r="I4" s="1"/>
      <c r="J4" s="1"/>
      <c r="K4" s="1"/>
      <c r="L4" s="1"/>
      <c r="M4" s="1"/>
      <c r="N4" s="1"/>
      <c r="O4" s="1"/>
      <c r="P4" s="1"/>
      <c r="Q4" s="1"/>
      <c r="R4" s="1"/>
      <c r="S4" s="1"/>
    </row>
    <row r="5" spans="3:19" ht="15.75" thickBot="1">
      <c r="C5" s="175"/>
      <c r="D5" s="176"/>
      <c r="E5" s="176"/>
      <c r="F5" s="177"/>
      <c r="G5" s="2"/>
      <c r="H5" s="1"/>
      <c r="I5" s="3"/>
      <c r="J5" s="3"/>
      <c r="K5" s="3"/>
      <c r="L5" s="3"/>
      <c r="M5" s="3"/>
      <c r="N5" s="3"/>
      <c r="O5" s="1"/>
      <c r="P5" s="3"/>
      <c r="Q5" s="1"/>
      <c r="R5" s="3"/>
      <c r="S5" s="3"/>
    </row>
    <row r="6" spans="3:19">
      <c r="H6" s="6"/>
      <c r="O6" s="6"/>
      <c r="Q6" s="6"/>
    </row>
    <row r="7" spans="3:19" ht="15.75" thickBot="1"/>
    <row r="8" spans="3:19" ht="27.6" customHeight="1" thickBot="1">
      <c r="C8" s="178" t="s">
        <v>89</v>
      </c>
      <c r="D8" s="180"/>
      <c r="E8" s="178" t="s">
        <v>90</v>
      </c>
      <c r="F8" s="180"/>
      <c r="G8" s="178" t="s">
        <v>91</v>
      </c>
      <c r="H8" s="180"/>
      <c r="I8" s="178" t="s">
        <v>92</v>
      </c>
      <c r="J8" s="180"/>
      <c r="K8" s="178" t="s">
        <v>93</v>
      </c>
      <c r="L8" s="180"/>
    </row>
    <row r="9" spans="3:19">
      <c r="C9" s="158" t="s">
        <v>90</v>
      </c>
      <c r="D9" s="160"/>
      <c r="E9" s="194">
        <v>1</v>
      </c>
      <c r="F9" s="195"/>
      <c r="G9" s="190">
        <f>$E$9*1000</f>
        <v>1000</v>
      </c>
      <c r="H9" s="191"/>
      <c r="I9" s="190">
        <f>$E$9*746</f>
        <v>746</v>
      </c>
      <c r="J9" s="191"/>
      <c r="K9" s="198">
        <f>$E$9*1055.05585262/3600</f>
        <v>0.29307107017222223</v>
      </c>
      <c r="L9" s="199"/>
    </row>
    <row r="10" spans="3:19" ht="15.75" thickBot="1">
      <c r="C10" s="161"/>
      <c r="D10" s="163"/>
      <c r="E10" s="196"/>
      <c r="F10" s="197"/>
      <c r="G10" s="192"/>
      <c r="H10" s="193"/>
      <c r="I10" s="192"/>
      <c r="J10" s="193"/>
      <c r="K10" s="200"/>
      <c r="L10" s="201"/>
    </row>
    <row r="11" spans="3:19">
      <c r="C11" s="158" t="s">
        <v>91</v>
      </c>
      <c r="D11" s="160"/>
      <c r="E11" s="190">
        <f>$E$9/1000</f>
        <v>1E-3</v>
      </c>
      <c r="F11" s="191"/>
      <c r="G11" s="194">
        <v>1</v>
      </c>
      <c r="H11" s="195"/>
      <c r="I11" s="190">
        <f>$I$13*746/1000</f>
        <v>0.746</v>
      </c>
      <c r="J11" s="191"/>
      <c r="K11" s="198">
        <f>K15*1055.05585262/3600/1000</f>
        <v>2.930710701722222E-4</v>
      </c>
      <c r="L11" s="199"/>
    </row>
    <row r="12" spans="3:19" ht="15.75" thickBot="1">
      <c r="C12" s="161"/>
      <c r="D12" s="163"/>
      <c r="E12" s="192"/>
      <c r="F12" s="193"/>
      <c r="G12" s="196"/>
      <c r="H12" s="197"/>
      <c r="I12" s="192"/>
      <c r="J12" s="193"/>
      <c r="K12" s="200"/>
      <c r="L12" s="201"/>
    </row>
    <row r="13" spans="3:19">
      <c r="C13" s="158" t="s">
        <v>92</v>
      </c>
      <c r="D13" s="160"/>
      <c r="E13" s="190">
        <f>$E$9/746</f>
        <v>1.3404825737265416E-3</v>
      </c>
      <c r="F13" s="191"/>
      <c r="G13" s="190">
        <f>$G$11*1000/746</f>
        <v>1.3404825737265416</v>
      </c>
      <c r="H13" s="191"/>
      <c r="I13" s="194">
        <v>1</v>
      </c>
      <c r="J13" s="195"/>
      <c r="K13" s="198">
        <f>K15*1055.05585262/3600/746</f>
        <v>3.9285666242925231E-4</v>
      </c>
      <c r="L13" s="199"/>
    </row>
    <row r="14" spans="3:19" ht="15.75" thickBot="1">
      <c r="C14" s="161"/>
      <c r="D14" s="163"/>
      <c r="E14" s="192"/>
      <c r="F14" s="193"/>
      <c r="G14" s="192"/>
      <c r="H14" s="193"/>
      <c r="I14" s="196"/>
      <c r="J14" s="197"/>
      <c r="K14" s="200"/>
      <c r="L14" s="201"/>
    </row>
    <row r="15" spans="3:19">
      <c r="C15" s="189" t="s">
        <v>93</v>
      </c>
      <c r="D15" s="160"/>
      <c r="E15" s="190">
        <f>$E$9/1055.05585262*3600</f>
        <v>3.4121416331279422</v>
      </c>
      <c r="F15" s="191"/>
      <c r="G15" s="190">
        <f>$G$11*1000/1055.05585262*3600</f>
        <v>3412.141633127942</v>
      </c>
      <c r="H15" s="191"/>
      <c r="I15" s="190">
        <f>$I$13*746/1055.05585262*3600</f>
        <v>2545.4576583134444</v>
      </c>
      <c r="J15" s="191"/>
      <c r="K15" s="194">
        <v>1</v>
      </c>
      <c r="L15" s="195"/>
    </row>
    <row r="16" spans="3:19" ht="15.75" thickBot="1">
      <c r="C16" s="161"/>
      <c r="D16" s="163"/>
      <c r="E16" s="192"/>
      <c r="F16" s="193"/>
      <c r="G16" s="192"/>
      <c r="H16" s="193"/>
      <c r="I16" s="192"/>
      <c r="J16" s="193"/>
      <c r="K16" s="196"/>
      <c r="L16" s="197"/>
    </row>
  </sheetData>
  <sheetProtection algorithmName="SHA-512" hashValue="JXPXZNn0vZ/I9LEJsJ/FoR1p0Vixev+rN1w3iJuNlXwJElAUpchY6FFtFppVnl4pOeh4JIhwWphvPhO3aVLkcA==" saltValue="MKMZMcy7d+ysETM4SnmDkw==" spinCount="100000" sheet="1" objects="1" scenarios="1" selectLockedCells="1"/>
  <mergeCells count="26">
    <mergeCell ref="C13:D14"/>
    <mergeCell ref="E13:F14"/>
    <mergeCell ref="G13:H14"/>
    <mergeCell ref="I13:J14"/>
    <mergeCell ref="K13:L14"/>
    <mergeCell ref="C15:D16"/>
    <mergeCell ref="E15:F16"/>
    <mergeCell ref="G15:H16"/>
    <mergeCell ref="I15:J16"/>
    <mergeCell ref="K15:L16"/>
    <mergeCell ref="C9:D10"/>
    <mergeCell ref="E9:F10"/>
    <mergeCell ref="G9:H10"/>
    <mergeCell ref="I9:J10"/>
    <mergeCell ref="K9:L10"/>
    <mergeCell ref="C11:D12"/>
    <mergeCell ref="E11:F12"/>
    <mergeCell ref="G11:H12"/>
    <mergeCell ref="I11:J12"/>
    <mergeCell ref="K11:L12"/>
    <mergeCell ref="K8:L8"/>
    <mergeCell ref="C4:F5"/>
    <mergeCell ref="C8:D8"/>
    <mergeCell ref="E8:F8"/>
    <mergeCell ref="G8:H8"/>
    <mergeCell ref="I8:J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S19"/>
  <sheetViews>
    <sheetView showGridLines="0" showRowColHeaders="0" workbookViewId="0">
      <selection activeCell="G10" sqref="G10:H11"/>
    </sheetView>
  </sheetViews>
  <sheetFormatPr defaultRowHeight="15"/>
  <sheetData>
    <row r="2" spans="3:19" ht="15.75" thickBot="1"/>
    <row r="3" spans="3:19">
      <c r="C3" s="172" t="s">
        <v>94</v>
      </c>
      <c r="D3" s="173"/>
      <c r="E3" s="173"/>
      <c r="F3" s="174"/>
      <c r="G3" s="1"/>
      <c r="H3" s="1"/>
      <c r="I3" s="1"/>
      <c r="J3" s="1"/>
      <c r="K3" s="1"/>
      <c r="L3" s="1"/>
      <c r="M3" s="1"/>
      <c r="N3" s="1"/>
      <c r="O3" s="1"/>
      <c r="P3" s="1"/>
      <c r="Q3" s="1"/>
      <c r="R3" s="1"/>
      <c r="S3" s="1"/>
    </row>
    <row r="4" spans="3:19" ht="15.75" thickBot="1">
      <c r="C4" s="175"/>
      <c r="D4" s="176"/>
      <c r="E4" s="176"/>
      <c r="F4" s="177"/>
      <c r="G4" s="2"/>
      <c r="H4" s="3"/>
      <c r="I4" s="3"/>
      <c r="J4" s="3"/>
      <c r="K4" s="3"/>
      <c r="L4" s="3"/>
      <c r="M4" s="3"/>
      <c r="N4" s="3"/>
      <c r="O4" s="3"/>
      <c r="P4" s="3"/>
      <c r="Q4" s="3"/>
      <c r="R4" s="3"/>
      <c r="S4" s="3"/>
    </row>
    <row r="6" spans="3:19" ht="15.75" thickBot="1"/>
    <row r="7" spans="3:19" ht="26.45" customHeight="1" thickBot="1">
      <c r="C7" s="178" t="s">
        <v>94</v>
      </c>
      <c r="D7" s="180"/>
      <c r="E7" s="178" t="s">
        <v>95</v>
      </c>
      <c r="F7" s="180"/>
      <c r="G7" s="178" t="s">
        <v>96</v>
      </c>
      <c r="H7" s="180"/>
      <c r="I7" s="178" t="s">
        <v>74</v>
      </c>
      <c r="J7" s="180"/>
      <c r="K7" s="178" t="s">
        <v>97</v>
      </c>
      <c r="L7" s="180"/>
      <c r="M7" s="178" t="s">
        <v>98</v>
      </c>
      <c r="N7" s="180"/>
      <c r="O7" s="178" t="s">
        <v>99</v>
      </c>
      <c r="P7" s="180"/>
    </row>
    <row r="8" spans="3:19">
      <c r="C8" s="158" t="s">
        <v>95</v>
      </c>
      <c r="D8" s="160"/>
      <c r="E8" s="164">
        <v>1</v>
      </c>
      <c r="F8" s="165"/>
      <c r="G8" s="168">
        <f>$G$10*3600</f>
        <v>3600</v>
      </c>
      <c r="H8" s="169"/>
      <c r="I8" s="168">
        <f>$I$12*1000*3600</f>
        <v>3600000</v>
      </c>
      <c r="J8" s="169"/>
      <c r="K8" s="168">
        <f>$K$14*4.1868</f>
        <v>4.1867999999999999</v>
      </c>
      <c r="L8" s="169"/>
      <c r="M8" s="168">
        <f>$M$16*1055.05585262</f>
        <v>1055.05585262</v>
      </c>
      <c r="N8" s="169"/>
      <c r="O8" s="168">
        <f>$O$18*10000000/4.186</f>
        <v>2388915.4323936934</v>
      </c>
      <c r="P8" s="169"/>
    </row>
    <row r="9" spans="3:19" ht="15.75" thickBot="1">
      <c r="C9" s="161"/>
      <c r="D9" s="163"/>
      <c r="E9" s="166"/>
      <c r="F9" s="167"/>
      <c r="G9" s="170"/>
      <c r="H9" s="171"/>
      <c r="I9" s="170"/>
      <c r="J9" s="171"/>
      <c r="K9" s="170"/>
      <c r="L9" s="171"/>
      <c r="M9" s="170"/>
      <c r="N9" s="171"/>
      <c r="O9" s="170"/>
      <c r="P9" s="171"/>
    </row>
    <row r="10" spans="3:19">
      <c r="C10" s="158" t="s">
        <v>96</v>
      </c>
      <c r="D10" s="160"/>
      <c r="E10" s="210">
        <f>$E$8/3600</f>
        <v>2.7777777777777778E-4</v>
      </c>
      <c r="F10" s="211"/>
      <c r="G10" s="164">
        <v>1</v>
      </c>
      <c r="H10" s="165"/>
      <c r="I10" s="168">
        <f>$I$12*1000</f>
        <v>1000</v>
      </c>
      <c r="J10" s="169"/>
      <c r="K10" s="206">
        <f>$K$14/3600/4.186</f>
        <v>6.6358762010935922E-5</v>
      </c>
      <c r="L10" s="207"/>
      <c r="M10" s="190">
        <f>$M$16*1055.05585262/3600</f>
        <v>0.29307107017222223</v>
      </c>
      <c r="N10" s="191"/>
      <c r="O10" s="168">
        <f>$O$18/3600/4.186*10000000</f>
        <v>663.58762010935925</v>
      </c>
      <c r="P10" s="169"/>
    </row>
    <row r="11" spans="3:19" ht="15.75" thickBot="1">
      <c r="C11" s="161"/>
      <c r="D11" s="163"/>
      <c r="E11" s="212"/>
      <c r="F11" s="213"/>
      <c r="G11" s="166"/>
      <c r="H11" s="167"/>
      <c r="I11" s="170"/>
      <c r="J11" s="171"/>
      <c r="K11" s="208"/>
      <c r="L11" s="209"/>
      <c r="M11" s="192"/>
      <c r="N11" s="193"/>
      <c r="O11" s="170"/>
      <c r="P11" s="171"/>
    </row>
    <row r="12" spans="3:19">
      <c r="C12" s="158" t="s">
        <v>74</v>
      </c>
      <c r="D12" s="160"/>
      <c r="E12" s="202">
        <f>$E$8/3600/1000</f>
        <v>2.7777777777777776E-7</v>
      </c>
      <c r="F12" s="203"/>
      <c r="G12" s="181">
        <f>$G$10/1000</f>
        <v>1E-3</v>
      </c>
      <c r="H12" s="182"/>
      <c r="I12" s="164">
        <v>1</v>
      </c>
      <c r="J12" s="165"/>
      <c r="K12" s="190">
        <f>$K$14/3600/4.186*1000</f>
        <v>6.6358762010935921E-2</v>
      </c>
      <c r="L12" s="191"/>
      <c r="M12" s="206">
        <f>$M$16*1055.05585262/3600/1000</f>
        <v>2.930710701722222E-4</v>
      </c>
      <c r="N12" s="207"/>
      <c r="O12" s="181">
        <f>$O$18/3600/4.186*10000</f>
        <v>0.66358762010935923</v>
      </c>
      <c r="P12" s="182"/>
    </row>
    <row r="13" spans="3:19" ht="15.75" thickBot="1">
      <c r="C13" s="161"/>
      <c r="D13" s="163"/>
      <c r="E13" s="204"/>
      <c r="F13" s="205"/>
      <c r="G13" s="183"/>
      <c r="H13" s="184"/>
      <c r="I13" s="166"/>
      <c r="J13" s="167"/>
      <c r="K13" s="192"/>
      <c r="L13" s="193"/>
      <c r="M13" s="208"/>
      <c r="N13" s="209"/>
      <c r="O13" s="183"/>
      <c r="P13" s="184"/>
    </row>
    <row r="14" spans="3:19">
      <c r="C14" s="189" t="s">
        <v>97</v>
      </c>
      <c r="D14" s="160"/>
      <c r="E14" s="181">
        <f>$E$8/4.186</f>
        <v>0.23889154323936934</v>
      </c>
      <c r="F14" s="182"/>
      <c r="G14" s="168">
        <f>$G$10*3600/4.1868</f>
        <v>859.84522785898537</v>
      </c>
      <c r="H14" s="169"/>
      <c r="I14" s="168">
        <f>$I$12*3600/4.1868*1000</f>
        <v>859845.22785898542</v>
      </c>
      <c r="J14" s="169"/>
      <c r="K14" s="164">
        <v>1</v>
      </c>
      <c r="L14" s="165"/>
      <c r="M14" s="168">
        <f>$M$16*1055.05585262/4.1868</f>
        <v>251.99576111111111</v>
      </c>
      <c r="N14" s="169"/>
      <c r="O14" s="168">
        <f>$O$18*10000000</f>
        <v>10000000</v>
      </c>
      <c r="P14" s="169"/>
    </row>
    <row r="15" spans="3:19" ht="15.75" thickBot="1">
      <c r="C15" s="161"/>
      <c r="D15" s="163"/>
      <c r="E15" s="183"/>
      <c r="F15" s="184"/>
      <c r="G15" s="170"/>
      <c r="H15" s="171"/>
      <c r="I15" s="170"/>
      <c r="J15" s="171"/>
      <c r="K15" s="166"/>
      <c r="L15" s="167"/>
      <c r="M15" s="170"/>
      <c r="N15" s="171"/>
      <c r="O15" s="170"/>
      <c r="P15" s="171"/>
    </row>
    <row r="16" spans="3:19">
      <c r="C16" s="189" t="s">
        <v>98</v>
      </c>
      <c r="D16" s="160"/>
      <c r="E16" s="210">
        <f>$E$8/1055.05585262</f>
        <v>9.4781712031331725E-4</v>
      </c>
      <c r="F16" s="211"/>
      <c r="G16" s="181">
        <f>$G$10*3600/1055.05585262</f>
        <v>3.4121416331279417</v>
      </c>
      <c r="H16" s="182"/>
      <c r="I16" s="168">
        <f>$I$12*3600/1055.05585262*1000</f>
        <v>3412.1416331279415</v>
      </c>
      <c r="J16" s="169"/>
      <c r="K16" s="198">
        <f>$K$14*4.1868/1055.05585262</f>
        <v>3.9683207193277961E-3</v>
      </c>
      <c r="L16" s="199"/>
      <c r="M16" s="164">
        <v>1</v>
      </c>
      <c r="N16" s="165"/>
      <c r="O16" s="168">
        <f>$O$18*4.1868/1055.05585262*10000000</f>
        <v>39683.207193277958</v>
      </c>
      <c r="P16" s="169"/>
    </row>
    <row r="17" spans="3:16" ht="15.75" thickBot="1">
      <c r="C17" s="161"/>
      <c r="D17" s="163"/>
      <c r="E17" s="212"/>
      <c r="F17" s="213"/>
      <c r="G17" s="183"/>
      <c r="H17" s="184"/>
      <c r="I17" s="170"/>
      <c r="J17" s="171"/>
      <c r="K17" s="200"/>
      <c r="L17" s="201"/>
      <c r="M17" s="166"/>
      <c r="N17" s="167"/>
      <c r="O17" s="170"/>
      <c r="P17" s="171"/>
    </row>
    <row r="18" spans="3:16">
      <c r="C18" s="189" t="s">
        <v>99</v>
      </c>
      <c r="D18" s="160"/>
      <c r="E18" s="202">
        <f>$E$8/4.186/10000000</f>
        <v>2.3889154323936934E-8</v>
      </c>
      <c r="F18" s="203"/>
      <c r="G18" s="206">
        <f>$G$10*3600/4.186/10000000</f>
        <v>8.6000955566172959E-5</v>
      </c>
      <c r="H18" s="207"/>
      <c r="I18" s="190">
        <f>$I$12*3600/4.186/10000000*1000</f>
        <v>8.600095556617296E-2</v>
      </c>
      <c r="J18" s="191"/>
      <c r="K18" s="214">
        <f>$K$14/10000000</f>
        <v>9.9999999999999995E-8</v>
      </c>
      <c r="L18" s="215"/>
      <c r="M18" s="206">
        <f>$M$16*1055.05585262/4.1868/10000000</f>
        <v>2.5199576111111112E-5</v>
      </c>
      <c r="N18" s="207"/>
      <c r="O18" s="164">
        <v>1</v>
      </c>
      <c r="P18" s="165"/>
    </row>
    <row r="19" spans="3:16" ht="15.75" thickBot="1">
      <c r="C19" s="161"/>
      <c r="D19" s="163"/>
      <c r="E19" s="204"/>
      <c r="F19" s="205"/>
      <c r="G19" s="208"/>
      <c r="H19" s="209"/>
      <c r="I19" s="192"/>
      <c r="J19" s="193"/>
      <c r="K19" s="216"/>
      <c r="L19" s="217"/>
      <c r="M19" s="208"/>
      <c r="N19" s="209"/>
      <c r="O19" s="166"/>
      <c r="P19" s="167"/>
    </row>
  </sheetData>
  <sheetProtection algorithmName="SHA-512" hashValue="xHhoNkXX/3NTzIJ+DqsfxgWiqEsW98uegWPeo9YUY7ocSGXaIts4b5KstBPBVES+eOj1TQ5ZIZWtC6n5V3dipg==" saltValue="n5sI/nZJyyCUQaWXHoV4mQ==" spinCount="100000" sheet="1" objects="1" scenarios="1" selectLockedCells="1"/>
  <mergeCells count="50">
    <mergeCell ref="O18:P19"/>
    <mergeCell ref="C18:D19"/>
    <mergeCell ref="E18:F19"/>
    <mergeCell ref="G18:H19"/>
    <mergeCell ref="I18:J19"/>
    <mergeCell ref="K18:L19"/>
    <mergeCell ref="M18:N19"/>
    <mergeCell ref="O14:P15"/>
    <mergeCell ref="C16:D17"/>
    <mergeCell ref="E16:F17"/>
    <mergeCell ref="G16:H17"/>
    <mergeCell ref="I16:J17"/>
    <mergeCell ref="K16:L17"/>
    <mergeCell ref="M16:N17"/>
    <mergeCell ref="O16:P17"/>
    <mergeCell ref="C14:D15"/>
    <mergeCell ref="E14:F15"/>
    <mergeCell ref="G14:H15"/>
    <mergeCell ref="I14:J15"/>
    <mergeCell ref="K14:L15"/>
    <mergeCell ref="M14:N15"/>
    <mergeCell ref="O10:P11"/>
    <mergeCell ref="C12:D13"/>
    <mergeCell ref="E12:F13"/>
    <mergeCell ref="G12:H13"/>
    <mergeCell ref="I12:J13"/>
    <mergeCell ref="K12:L13"/>
    <mergeCell ref="M12:N13"/>
    <mergeCell ref="O12:P13"/>
    <mergeCell ref="C10:D11"/>
    <mergeCell ref="E10:F11"/>
    <mergeCell ref="G10:H11"/>
    <mergeCell ref="I10:J11"/>
    <mergeCell ref="K10:L11"/>
    <mergeCell ref="M10:N11"/>
    <mergeCell ref="M7:N7"/>
    <mergeCell ref="O7:P7"/>
    <mergeCell ref="C8:D9"/>
    <mergeCell ref="E8:F9"/>
    <mergeCell ref="G8:H9"/>
    <mergeCell ref="I8:J9"/>
    <mergeCell ref="K8:L9"/>
    <mergeCell ref="M8:N9"/>
    <mergeCell ref="O8:P9"/>
    <mergeCell ref="K7:L7"/>
    <mergeCell ref="C3:F4"/>
    <mergeCell ref="C7:D7"/>
    <mergeCell ref="E7:F7"/>
    <mergeCell ref="G7:H7"/>
    <mergeCell ref="I7:J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TEP Dönüşümü Tablosu</vt:lpstr>
      <vt:lpstr>Sıcak Su Hesabı</vt:lpstr>
      <vt:lpstr>Buhar Hesabı</vt:lpstr>
      <vt:lpstr>Sıcaklık</vt:lpstr>
      <vt:lpstr>Basınç</vt:lpstr>
      <vt:lpstr>Güç</vt:lpstr>
      <vt:lpstr>Enerji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2021-03-18T14:11:24Z</dcterms:modified>
</cp:coreProperties>
</file>